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880" firstSheet="1" activeTab="7"/>
  </bookViews>
  <sheets>
    <sheet name="Define" sheetId="1" state="hidden" r:id="rId1"/>
    <sheet name="2014年公共财政" sheetId="2" r:id="rId2"/>
    <sheet name="2014年基金" sheetId="3" r:id="rId3"/>
    <sheet name="2015年公共财政" sheetId="4" r:id="rId4"/>
    <sheet name="2015年基金 " sheetId="5" r:id="rId5"/>
    <sheet name="2015国有资本经营预算" sheetId="6" r:id="rId6"/>
    <sheet name="2015社保基金预算" sheetId="7" r:id="rId7"/>
    <sheet name="2015年支出项目预算表 " sheetId="8" r:id="rId8"/>
  </sheets>
  <externalReferences>
    <externalReference r:id="rId11"/>
    <externalReference r:id="rId12"/>
    <externalReference r:id="rId13"/>
  </externalReferences>
  <definedNames>
    <definedName name="l">#REF!</definedName>
    <definedName name="_xlnm.Print_Area" localSheetId="1">'2014年公共财政'!$A$2:$P$121</definedName>
    <definedName name="_xlnm.Print_Area" localSheetId="3">'2015年公共财政'!$A$1:$J$97</definedName>
    <definedName name="_xlnm.Print_Titles" localSheetId="1">'2014年公共财政'!$1:$7</definedName>
    <definedName name="_xlnm.Print_Titles" localSheetId="3">'2015年公共财政'!$1:$7</definedName>
    <definedName name="_xlnm.Print_Titles" localSheetId="7">'2015年支出项目预算表 '!$1:$5</definedName>
  </definedNames>
  <calcPr fullCalcOnLoad="1"/>
</workbook>
</file>

<file path=xl/comments2.xml><?xml version="1.0" encoding="utf-8"?>
<comments xmlns="http://schemas.openxmlformats.org/spreadsheetml/2006/main">
  <authors>
    <author>预算股/雷鸣</author>
  </authors>
  <commentList>
    <comment ref="B49" authorId="0">
      <text>
        <r>
          <rPr>
            <sz val="9"/>
            <rFont val="宋体"/>
            <family val="0"/>
          </rPr>
          <t>预算股/雷鸣:
结算后转入结转</t>
        </r>
      </text>
    </comment>
  </commentList>
</comments>
</file>

<file path=xl/sharedStrings.xml><?xml version="1.0" encoding="utf-8"?>
<sst xmlns="http://schemas.openxmlformats.org/spreadsheetml/2006/main" count="1185" uniqueCount="740">
  <si>
    <t>ERRANGE_O=</t>
  </si>
  <si>
    <t>A8:J114</t>
  </si>
  <si>
    <t>ERLINESTART_O=</t>
  </si>
  <si>
    <t>ERCOLUMNSTART_O=</t>
  </si>
  <si>
    <t>ERLINEEND_O=</t>
  </si>
  <si>
    <t>ERCOLUMNEND_O=</t>
  </si>
  <si>
    <t>附表1：</t>
  </si>
  <si>
    <t>2014年清流县县级公共财政收支执行情况表</t>
  </si>
  <si>
    <t>编制单位：清流县财政局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</si>
  <si>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</si>
  <si>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</si>
  <si>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</si>
  <si>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</si>
  <si>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
预算数</t>
  </si>
  <si>
    <t>2013年
决算数</t>
  </si>
  <si>
    <t>2014年预算执行情况</t>
  </si>
  <si>
    <t>上年执行数</t>
  </si>
  <si>
    <t>执行数</t>
  </si>
  <si>
    <t>比年初预算</t>
  </si>
  <si>
    <t>比上年决算数</t>
  </si>
  <si>
    <t>增减额</t>
  </si>
  <si>
    <t>增减％</t>
  </si>
  <si>
    <t>占比</t>
  </si>
  <si>
    <t>一、税收收入</t>
  </si>
  <si>
    <t>一、一般公共服务支出</t>
  </si>
  <si>
    <t xml:space="preserve">       增值税</t>
  </si>
  <si>
    <t>二、国防支出</t>
  </si>
  <si>
    <t xml:space="preserve">       营业税</t>
  </si>
  <si>
    <t>三、公共安全支出</t>
  </si>
  <si>
    <r>
      <t xml:space="preserve">       </t>
    </r>
    <r>
      <rPr>
        <sz val="12"/>
        <rFont val="宋体"/>
        <family val="0"/>
      </rPr>
      <t>企业所得税</t>
    </r>
  </si>
  <si>
    <t>四、教育支出</t>
  </si>
  <si>
    <r>
      <t xml:space="preserve">       </t>
    </r>
    <r>
      <rPr>
        <sz val="12"/>
        <rFont val="宋体"/>
        <family val="0"/>
      </rPr>
      <t>个人所得税</t>
    </r>
  </si>
  <si>
    <t>五、科学技术支出</t>
  </si>
  <si>
    <r>
      <t xml:space="preserve">       </t>
    </r>
    <r>
      <rPr>
        <sz val="12"/>
        <rFont val="宋体"/>
        <family val="0"/>
      </rPr>
      <t>资源税</t>
    </r>
  </si>
  <si>
    <t>六、文化体育与传媒支出</t>
  </si>
  <si>
    <r>
      <t xml:space="preserve">       </t>
    </r>
    <r>
      <rPr>
        <sz val="12"/>
        <rFont val="宋体"/>
        <family val="0"/>
      </rPr>
      <t>城市维护建设税</t>
    </r>
  </si>
  <si>
    <t>七、社会保障和就业支出</t>
  </si>
  <si>
    <r>
      <t xml:space="preserve">       </t>
    </r>
    <r>
      <rPr>
        <sz val="12"/>
        <rFont val="宋体"/>
        <family val="0"/>
      </rPr>
      <t>房产税</t>
    </r>
  </si>
  <si>
    <t>八、医疗卫生支出</t>
  </si>
  <si>
    <r>
      <t xml:space="preserve">       </t>
    </r>
    <r>
      <rPr>
        <sz val="12"/>
        <rFont val="宋体"/>
        <family val="0"/>
      </rPr>
      <t>印花税</t>
    </r>
  </si>
  <si>
    <t>九、节能环保支出</t>
  </si>
  <si>
    <r>
      <t xml:space="preserve">       </t>
    </r>
    <r>
      <rPr>
        <sz val="12"/>
        <rFont val="宋体"/>
        <family val="0"/>
      </rPr>
      <t>城镇土地使用税</t>
    </r>
  </si>
  <si>
    <t>十、城乡社区事务支出</t>
  </si>
  <si>
    <r>
      <t xml:space="preserve">       </t>
    </r>
    <r>
      <rPr>
        <sz val="12"/>
        <rFont val="宋体"/>
        <family val="0"/>
      </rPr>
      <t>土地增值税</t>
    </r>
  </si>
  <si>
    <t>十一、农林水事务支出</t>
  </si>
  <si>
    <r>
      <t xml:space="preserve">       </t>
    </r>
    <r>
      <rPr>
        <sz val="12"/>
        <rFont val="宋体"/>
        <family val="0"/>
      </rPr>
      <t>车船税</t>
    </r>
  </si>
  <si>
    <t>十二、交通运输支出</t>
  </si>
  <si>
    <r>
      <t xml:space="preserve">       </t>
    </r>
    <r>
      <rPr>
        <sz val="12"/>
        <rFont val="宋体"/>
        <family val="0"/>
      </rPr>
      <t>耕地占用税</t>
    </r>
  </si>
  <si>
    <t>十三、资源勘察电力信息等事务</t>
  </si>
  <si>
    <r>
      <t xml:space="preserve">       </t>
    </r>
    <r>
      <rPr>
        <sz val="12"/>
        <rFont val="宋体"/>
        <family val="0"/>
      </rPr>
      <t>契税</t>
    </r>
  </si>
  <si>
    <t>十四、商业服务业等事务</t>
  </si>
  <si>
    <r>
      <t xml:space="preserve">       </t>
    </r>
    <r>
      <rPr>
        <sz val="12"/>
        <rFont val="宋体"/>
        <family val="0"/>
      </rPr>
      <t>烟叶税</t>
    </r>
  </si>
  <si>
    <t>十五、金融监管等事务支出</t>
  </si>
  <si>
    <r>
      <t xml:space="preserve">       </t>
    </r>
    <r>
      <rPr>
        <sz val="12"/>
        <rFont val="宋体"/>
        <family val="0"/>
      </rPr>
      <t>其他税收收入</t>
    </r>
  </si>
  <si>
    <t>十六、地震灾后恢复重建支出</t>
  </si>
  <si>
    <t>二、非税收入</t>
  </si>
  <si>
    <t>十七、国土资源气象等事务支出</t>
  </si>
  <si>
    <r>
      <t xml:space="preserve">       </t>
    </r>
    <r>
      <rPr>
        <sz val="12"/>
        <rFont val="宋体"/>
        <family val="0"/>
      </rPr>
      <t>专项收入</t>
    </r>
  </si>
  <si>
    <t>十八、住房保障支出</t>
  </si>
  <si>
    <r>
      <t xml:space="preserve">       </t>
    </r>
    <r>
      <rPr>
        <sz val="12"/>
        <rFont val="宋体"/>
        <family val="0"/>
      </rPr>
      <t>行政事业性收费收入</t>
    </r>
  </si>
  <si>
    <t>十九、粮油物资储备管理事务支出</t>
  </si>
  <si>
    <r>
      <t xml:space="preserve">       </t>
    </r>
    <r>
      <rPr>
        <sz val="12"/>
        <rFont val="宋体"/>
        <family val="0"/>
      </rPr>
      <t>罚没收入</t>
    </r>
  </si>
  <si>
    <t>二十、债务付息支出</t>
  </si>
  <si>
    <r>
      <t xml:space="preserve">       </t>
    </r>
    <r>
      <rPr>
        <sz val="12"/>
        <rFont val="宋体"/>
        <family val="0"/>
      </rPr>
      <t>国有资本经营收入</t>
    </r>
  </si>
  <si>
    <t>二十一、其他支出</t>
  </si>
  <si>
    <r>
      <t xml:space="preserve">       </t>
    </r>
    <r>
      <rPr>
        <sz val="12"/>
        <rFont val="宋体"/>
        <family val="0"/>
      </rPr>
      <t>国有资源（资产）有偿使用收入</t>
    </r>
  </si>
  <si>
    <r>
      <t xml:space="preserve">       </t>
    </r>
    <r>
      <rPr>
        <sz val="12"/>
        <rFont val="宋体"/>
        <family val="0"/>
      </rPr>
      <t>其他收入</t>
    </r>
  </si>
  <si>
    <t>本年收入合计</t>
  </si>
  <si>
    <t>本年支出合计</t>
  </si>
  <si>
    <t>上级转移支付补助收入</t>
  </si>
  <si>
    <t>上解上级支出</t>
  </si>
  <si>
    <t xml:space="preserve">（一）返还性收入 </t>
  </si>
  <si>
    <t>安排预算稳定调节基金</t>
  </si>
  <si>
    <t>（二）一般转移支付收入</t>
  </si>
  <si>
    <t xml:space="preserve">     1、均衡性转移支付</t>
  </si>
  <si>
    <t xml:space="preserve">     2、调整工资转移支付补助收入</t>
  </si>
  <si>
    <t xml:space="preserve">     3、农村税费改革转移支付收入</t>
  </si>
  <si>
    <t xml:space="preserve">（1）农村税费改革补助收入  </t>
  </si>
  <si>
    <t xml:space="preserve">（2）国有农场农村税费改革转移支付 </t>
  </si>
  <si>
    <t xml:space="preserve">（3）农村“五大员”及村计生协会会长、妇代会主任、团支部书记津贴转移支付 </t>
  </si>
  <si>
    <t xml:space="preserve">（4）提高村级组织运转经费转移支付 </t>
  </si>
  <si>
    <t>（5）农村民兵预备人员训练补助经费</t>
  </si>
  <si>
    <t xml:space="preserve">     4、县级基本财力保障奖补收入</t>
  </si>
  <si>
    <t xml:space="preserve">     5、结算补助收入</t>
  </si>
  <si>
    <t>（1）烟草公司收入转移补助</t>
  </si>
  <si>
    <t>（2） 重大基础设施税费返还</t>
  </si>
  <si>
    <t>（3） 财政增收考核奖励</t>
  </si>
  <si>
    <t>（4）扶贫开发重点县和水土流失治理重点县园区专项扶持资金</t>
  </si>
  <si>
    <t>（5）援疆、援藏补助</t>
  </si>
  <si>
    <t>（6）公安基层民警误餐补助</t>
  </si>
  <si>
    <t xml:space="preserve">     6、农林水转移支付收入</t>
  </si>
  <si>
    <t>（1）村级公益事业一事一议奖励资金</t>
  </si>
  <si>
    <t xml:space="preserve">（2）2011年造林绿化补助资金   </t>
  </si>
  <si>
    <t xml:space="preserve">     7、公共安全转移支付补助收入</t>
  </si>
  <si>
    <t xml:space="preserve">     8、教育转移支付收入</t>
  </si>
  <si>
    <t>（1）城乡义务教育免学杂费和公用经费转移支付补助</t>
  </si>
  <si>
    <t>（2）校安工程和进城务工农民随迁子女接受义务教育奖励资金</t>
  </si>
  <si>
    <t>（3）增加教师津贴补助</t>
  </si>
  <si>
    <t xml:space="preserve"> (4)农村小规模小学公用经费补助</t>
  </si>
  <si>
    <t xml:space="preserve"> (5)其他教育转移支付</t>
  </si>
  <si>
    <t xml:space="preserve">     9、社会保障和就业转移支付收入</t>
  </si>
  <si>
    <t>（1）新型农村社会养老保险补助</t>
  </si>
  <si>
    <t>（2）农村居民最低生活保障补助</t>
  </si>
  <si>
    <t>（3）城市居民最低生活保障补助</t>
  </si>
  <si>
    <t xml:space="preserve">（4）抚恤补助资金 </t>
  </si>
  <si>
    <t>（5）乡镇卫生院人员经费保障省级补助</t>
  </si>
  <si>
    <t>（6）城镇居民社会养老保险试点专项补助</t>
  </si>
  <si>
    <t>（7）农村籍退役士兵老年生活补助</t>
  </si>
  <si>
    <t xml:space="preserve">    10、医疗卫生转移支付收入</t>
  </si>
  <si>
    <t>（1）新型农村合作医疗中央和省级补助经费</t>
  </si>
  <si>
    <t>（2）基本公共卫生服务补助</t>
  </si>
  <si>
    <t xml:space="preserve">（3）农村孕产妇住院分娩省级补助经费 </t>
  </si>
  <si>
    <t xml:space="preserve">（4）重大公共卫生项目经费  </t>
  </si>
  <si>
    <t xml:space="preserve">    11、原中央苏区和革命老区转移支付</t>
  </si>
  <si>
    <t xml:space="preserve">    12、其他一般性转移支付</t>
  </si>
  <si>
    <t>（1）缓解县乡困难补助</t>
  </si>
  <si>
    <t>（2）六挂六奖补助</t>
  </si>
  <si>
    <t xml:space="preserve">     其中：税性收入增长奖励</t>
  </si>
  <si>
    <t xml:space="preserve">            税性收入增长奖励进基数</t>
  </si>
  <si>
    <t xml:space="preserve">            化解债务奖励</t>
  </si>
  <si>
    <t xml:space="preserve">            产油大县奖励</t>
  </si>
  <si>
    <t xml:space="preserve">            重点支出奖励补助</t>
  </si>
  <si>
    <t xml:space="preserve"> (3)村干部基本报酬保障奖励资金</t>
  </si>
  <si>
    <t>（4）国有农场带村干部基本报酬保障金</t>
  </si>
  <si>
    <t>（5）农村卫技人员补贴补助</t>
  </si>
  <si>
    <t>（6）育林基金建设补助</t>
  </si>
  <si>
    <t>（7）提高津补贴水平经费补助</t>
  </si>
  <si>
    <t>（8）生态功能区转移支付</t>
  </si>
  <si>
    <t>（9）一般公共服务转移支付</t>
  </si>
  <si>
    <t>（10）其他一般性转移支付（社会事业专项）</t>
  </si>
  <si>
    <t>转贷财政部代理发行地方政府债券收入</t>
  </si>
  <si>
    <t>转贷财政部代理发行地方政府债券还本支出</t>
  </si>
  <si>
    <t>上年结余收入</t>
  </si>
  <si>
    <t xml:space="preserve">   调出资金</t>
  </si>
  <si>
    <t xml:space="preserve">    结转</t>
  </si>
  <si>
    <t xml:space="preserve">   年终结余</t>
  </si>
  <si>
    <t>上年预算稳定调节基金结余</t>
  </si>
  <si>
    <t xml:space="preserve">       结转下年支出</t>
  </si>
  <si>
    <t>调入资金</t>
  </si>
  <si>
    <t xml:space="preserve">              净结余</t>
  </si>
  <si>
    <t>收入总计</t>
  </si>
  <si>
    <t>支出总计</t>
  </si>
  <si>
    <t>附：中央级收入合计</t>
  </si>
  <si>
    <t>重点支出</t>
  </si>
  <si>
    <t xml:space="preserve">              增值税（75%）</t>
  </si>
  <si>
    <t xml:space="preserve"> 其中：1、法定支出（应高于经常性收入增长）</t>
  </si>
  <si>
    <t xml:space="preserve">              企业所得税（60％）</t>
  </si>
  <si>
    <t xml:space="preserve">           （1）教育</t>
  </si>
  <si>
    <t xml:space="preserve">              个人所得税（60％）</t>
  </si>
  <si>
    <t xml:space="preserve">           （2）科学技术</t>
  </si>
  <si>
    <t xml:space="preserve">           （3）农林水事务</t>
  </si>
  <si>
    <t>财政总收入</t>
  </si>
  <si>
    <t xml:space="preserve">           （4）计划生育</t>
  </si>
  <si>
    <t>国税征收</t>
  </si>
  <si>
    <t xml:space="preserve">      2、 医疗卫生</t>
  </si>
  <si>
    <t xml:space="preserve">    其中：地方级</t>
  </si>
  <si>
    <t xml:space="preserve">      3、 社会保障和就业</t>
  </si>
  <si>
    <t xml:space="preserve">             其中：企业所得税</t>
  </si>
  <si>
    <t>重点支出占一般预算支出比重%</t>
  </si>
  <si>
    <t xml:space="preserve">          中央级</t>
  </si>
  <si>
    <t xml:space="preserve">   科技支出占一般预算支出比重%（高于1.3）</t>
  </si>
  <si>
    <t>地税征收</t>
  </si>
  <si>
    <t xml:space="preserve">   教育支出占一般预算支出比重%</t>
  </si>
  <si>
    <t xml:space="preserve">   一般公共服务占一般预算支出比重%</t>
  </si>
  <si>
    <t xml:space="preserve">             其中：个人所得税</t>
  </si>
  <si>
    <t xml:space="preserve">                   企业所得税</t>
  </si>
  <si>
    <t xml:space="preserve">                   教育费附加</t>
  </si>
  <si>
    <t>财政征收</t>
  </si>
  <si>
    <t xml:space="preserve">     其中：专项、行政事业性收费、罚没等收入</t>
  </si>
  <si>
    <t>县级一般预算收入税性收入比重%</t>
  </si>
  <si>
    <t>经常性收入</t>
  </si>
  <si>
    <t>县GDP数</t>
  </si>
  <si>
    <t>县级一般预算收入占GDP比重%</t>
  </si>
  <si>
    <t>财政总收入(不含基金）占GDP比重%</t>
  </si>
  <si>
    <t>财政总收入（含基金）</t>
  </si>
  <si>
    <t>附表2：</t>
  </si>
  <si>
    <t>2014年清流县县级政府性基金收支执行情况表</t>
  </si>
  <si>
    <t>一、国有土地使用权出让金收入</t>
  </si>
  <si>
    <t>一、国有土地使用权出让金支出</t>
  </si>
  <si>
    <t>二、残疾人就业保障金收入</t>
  </si>
  <si>
    <t>二、残疾人就业保障金支出</t>
  </si>
  <si>
    <t>三、育林基金收入</t>
  </si>
  <si>
    <t>三、育林基金支出</t>
  </si>
  <si>
    <t>四、森林植被恢复费</t>
  </si>
  <si>
    <t>四、森林植被恢复费支出</t>
  </si>
  <si>
    <t>五、价格调节基金收入</t>
  </si>
  <si>
    <t>五、价格调节基金支出</t>
  </si>
  <si>
    <t>六、彩票公益金收入</t>
  </si>
  <si>
    <t>六、彩票公益金支出</t>
  </si>
  <si>
    <t>转移性收入</t>
  </si>
  <si>
    <t>转移性支出</t>
  </si>
  <si>
    <t xml:space="preserve">       上级补助收入</t>
  </si>
  <si>
    <t xml:space="preserve">       上解上级支出</t>
  </si>
  <si>
    <t xml:space="preserve">       下级上解收入</t>
  </si>
  <si>
    <t xml:space="preserve">       补助下级支出</t>
  </si>
  <si>
    <t xml:space="preserve">       上年结余收入</t>
  </si>
  <si>
    <t xml:space="preserve">       调出资金</t>
  </si>
  <si>
    <t xml:space="preserve">       调入资金</t>
  </si>
  <si>
    <t xml:space="preserve">       年终结余</t>
  </si>
  <si>
    <t>附表3（1）：</t>
  </si>
  <si>
    <t>2015年清流县县级公共财政预算收支平衡表（草案）</t>
  </si>
  <si>
    <r>
      <t>支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出（按支出功能科目）</t>
    </r>
  </si>
  <si>
    <t>年初预算数</t>
  </si>
  <si>
    <t>比执行数</t>
  </si>
  <si>
    <r>
      <t xml:space="preserve">       </t>
    </r>
    <r>
      <rPr>
        <sz val="12"/>
        <rFont val="宋体"/>
        <family val="0"/>
      </rPr>
      <t>增值税</t>
    </r>
  </si>
  <si>
    <r>
      <t xml:space="preserve">       </t>
    </r>
    <r>
      <rPr>
        <sz val="12"/>
        <rFont val="宋体"/>
        <family val="0"/>
      </rPr>
      <t>营业税</t>
    </r>
  </si>
  <si>
    <r>
      <t xml:space="preserve">       </t>
    </r>
    <r>
      <rPr>
        <sz val="12"/>
        <rFont val="宋体"/>
        <family val="0"/>
      </rPr>
      <t>其他收入（政府性基金改列公共预算）</t>
    </r>
  </si>
  <si>
    <t>上级补助收入</t>
  </si>
  <si>
    <r>
      <t xml:space="preserve"> </t>
    </r>
    <r>
      <rPr>
        <sz val="12"/>
        <rFont val="宋体"/>
        <family val="0"/>
      </rPr>
      <t xml:space="preserve">   12、成品油价格和税费改革税返还</t>
    </r>
  </si>
  <si>
    <t xml:space="preserve">    13、其他一般性转移支付</t>
  </si>
  <si>
    <t>（3）村干部基本报酬保障奖励金</t>
  </si>
  <si>
    <t>（10）其他一般性转移支付（社会事业）</t>
  </si>
  <si>
    <t xml:space="preserve">     结转下年支出</t>
  </si>
  <si>
    <r>
      <t xml:space="preserve">              </t>
    </r>
    <r>
      <rPr>
        <sz val="12"/>
        <rFont val="宋体"/>
        <family val="0"/>
      </rPr>
      <t>净结余</t>
    </r>
  </si>
  <si>
    <t xml:space="preserve">              消费税</t>
  </si>
  <si>
    <t>附表4：</t>
  </si>
  <si>
    <t xml:space="preserve"> </t>
  </si>
  <si>
    <t>2015年清流县县级政府性基金预算收支平衡表（草案）</t>
  </si>
  <si>
    <t xml:space="preserve">  一、国有土地使用权出让金收入</t>
  </si>
  <si>
    <t xml:space="preserve">  一、国有土地使用权出让金支出</t>
  </si>
  <si>
    <t xml:space="preserve">  二、残疾人就业保障金收入</t>
  </si>
  <si>
    <t xml:space="preserve">  二、残疾人就业保障金支出</t>
  </si>
  <si>
    <t xml:space="preserve">  三、育林基金收入</t>
  </si>
  <si>
    <t xml:space="preserve">  三、育林基金支出</t>
  </si>
  <si>
    <t>收入合计</t>
  </si>
  <si>
    <t>支出合计</t>
  </si>
  <si>
    <t>附表5：</t>
  </si>
  <si>
    <t>2015年清流县国有资本经营预算收支平衡表（草案）</t>
  </si>
  <si>
    <t>制表单位：清流县财政局</t>
  </si>
  <si>
    <r>
      <t>收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</si>
  <si>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</si>
  <si>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</si>
  <si>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增减%</t>
  </si>
  <si>
    <t>一、利润收入</t>
  </si>
  <si>
    <t>一、教育支出</t>
  </si>
  <si>
    <t>二、股利、股息收入</t>
  </si>
  <si>
    <t>二、科学技术支出</t>
  </si>
  <si>
    <t>三、产权转让收入</t>
  </si>
  <si>
    <t>三、文化体育与传媒支出</t>
  </si>
  <si>
    <t>四、清算收入</t>
  </si>
  <si>
    <t>四、节能环保支出</t>
  </si>
  <si>
    <t>五、其他国有资本经营预算收入</t>
  </si>
  <si>
    <t>五、城乡社区事务支出</t>
  </si>
  <si>
    <t>六、农林水事务支出</t>
  </si>
  <si>
    <t>七、交通运输支出</t>
  </si>
  <si>
    <t>八、资源勘探电力信息等事务支出</t>
  </si>
  <si>
    <t>九、商业服务业等事务支出</t>
  </si>
  <si>
    <t>十、其他支出</t>
  </si>
  <si>
    <t>年终结余</t>
  </si>
  <si>
    <t>调出资金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</si>
  <si>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</si>
  <si>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</si>
  <si>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附表6：</t>
  </si>
  <si>
    <t>2015年清流县城乡居民基本养老保险基金预算收支平衡表（草案）</t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</si>
  <si>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</si>
  <si>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</si>
  <si>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</si>
  <si>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</si>
  <si>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</si>
  <si>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</si>
  <si>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四、政府补贴收入</t>
  </si>
  <si>
    <t>四、转移支出</t>
  </si>
  <si>
    <t xml:space="preserve">    其中：对基础养老金的补贴收入</t>
  </si>
  <si>
    <t xml:space="preserve">          对个人缴费的补贴收入</t>
  </si>
  <si>
    <t>五、其他收入</t>
  </si>
  <si>
    <t>六、转移收入</t>
  </si>
  <si>
    <t>补助下级支出</t>
  </si>
  <si>
    <t>下级上解收入</t>
  </si>
  <si>
    <t>上年结余</t>
  </si>
  <si>
    <t>本年收支结余</t>
  </si>
  <si>
    <t>年末滚存结余</t>
  </si>
  <si>
    <t>附表7：</t>
  </si>
  <si>
    <t>2015年清流县县级公共财政预算分科目支出明细表（草案）</t>
  </si>
  <si>
    <t>制表：清流县财政局</t>
  </si>
  <si>
    <t>科目编码</t>
  </si>
  <si>
    <t>单位代码</t>
  </si>
  <si>
    <t>科目名称</t>
  </si>
  <si>
    <t>合计</t>
  </si>
  <si>
    <t>工资福利支出</t>
  </si>
  <si>
    <t>商品和服务支出</t>
  </si>
  <si>
    <t>对个人和家庭的补助支出</t>
  </si>
  <si>
    <t>其他支出</t>
  </si>
  <si>
    <t>**</t>
  </si>
  <si>
    <t>201</t>
  </si>
  <si>
    <t>一般公共服务支出</t>
  </si>
  <si>
    <t xml:space="preserve">  20101</t>
  </si>
  <si>
    <t xml:space="preserve">  人大事务</t>
  </si>
  <si>
    <t xml:space="preserve">    01</t>
  </si>
  <si>
    <t xml:space="preserve">    行政运行（人大事务）</t>
  </si>
  <si>
    <t xml:space="preserve">  20102</t>
  </si>
  <si>
    <t xml:space="preserve">  政协事务</t>
  </si>
  <si>
    <t xml:space="preserve">    行政运行（政协事务）</t>
  </si>
  <si>
    <t xml:space="preserve">  20103</t>
  </si>
  <si>
    <t xml:space="preserve">  政府办公厅（室）及相关机构事务</t>
  </si>
  <si>
    <t xml:space="preserve">    行政运行（政府办公厅（室）及相关机构事务）</t>
  </si>
  <si>
    <t xml:space="preserve">    08</t>
  </si>
  <si>
    <t xml:space="preserve">    信访事务</t>
  </si>
  <si>
    <t xml:space="preserve">    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</si>
  <si>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</si>
  <si>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</si>
  <si>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</si>
  <si>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行政运行（发展与改革事务）</t>
  </si>
  <si>
    <t xml:space="preserve">    03</t>
  </si>
  <si>
    <t xml:space="preserve">    机关服务（发展与改革事务）</t>
  </si>
  <si>
    <t xml:space="preserve">    物价管理</t>
  </si>
  <si>
    <t xml:space="preserve">    50</t>
  </si>
  <si>
    <t xml:space="preserve">    事业运行（发展与改革事务）</t>
  </si>
  <si>
    <t xml:space="preserve">    其他发展与改革事务支出</t>
  </si>
  <si>
    <t xml:space="preserve">  20105</t>
  </si>
  <si>
    <t xml:space="preserve">  统计信息事务</t>
  </si>
  <si>
    <t xml:space="preserve">    行政运行（统计信息事务）</t>
  </si>
  <si>
    <t xml:space="preserve">  20106</t>
  </si>
  <si>
    <t xml:space="preserve">  财政事务</t>
  </si>
  <si>
    <t xml:space="preserve">    行政运行（财政事务）</t>
  </si>
  <si>
    <t xml:space="preserve">    事业运行（财政事务）</t>
  </si>
  <si>
    <t xml:space="preserve">    其他财政事务支出</t>
  </si>
  <si>
    <t xml:space="preserve">  20107</t>
  </si>
  <si>
    <t xml:space="preserve">  税收事务</t>
  </si>
  <si>
    <t xml:space="preserve">    其他税收事务支出</t>
  </si>
  <si>
    <t xml:space="preserve">  20108</t>
  </si>
  <si>
    <t xml:space="preserve">  审计事务</t>
  </si>
  <si>
    <t xml:space="preserve">    行政运行（审计事务）</t>
  </si>
  <si>
    <t xml:space="preserve">    事业运行（审计事务）</t>
  </si>
  <si>
    <t xml:space="preserve">  20110</t>
  </si>
  <si>
    <t xml:space="preserve">  人力资源事务</t>
  </si>
  <si>
    <t xml:space="preserve">    行政运行（人力资源事务）</t>
  </si>
  <si>
    <t xml:space="preserve">  20111</t>
  </si>
  <si>
    <t xml:space="preserve">  纪检监察事务</t>
  </si>
  <si>
    <t xml:space="preserve">    行政运行（纪检监察事务）</t>
  </si>
  <si>
    <t xml:space="preserve">  20113</t>
  </si>
  <si>
    <t xml:space="preserve">  商贸事务</t>
  </si>
  <si>
    <t xml:space="preserve">    行政运行（商贸事务）</t>
  </si>
  <si>
    <t xml:space="preserve">    04</t>
  </si>
  <si>
    <t xml:space="preserve">    对外贸易管理</t>
  </si>
  <si>
    <t xml:space="preserve">    招商引资</t>
  </si>
  <si>
    <t xml:space="preserve">    事业运行（商贸事务）</t>
  </si>
  <si>
    <t xml:space="preserve">    其他商贸事务支出</t>
  </si>
  <si>
    <t xml:space="preserve">  20115</t>
  </si>
  <si>
    <t xml:space="preserve">  工商行政管理事务</t>
  </si>
  <si>
    <t xml:space="preserve">    行政运行（工商行政管理事务）</t>
  </si>
  <si>
    <t xml:space="preserve">  20123</t>
  </si>
  <si>
    <t xml:space="preserve">  民族事务</t>
  </si>
  <si>
    <t xml:space="preserve">    事业运行（民族事务）</t>
  </si>
  <si>
    <t xml:space="preserve">  20125</t>
  </si>
  <si>
    <t xml:space="preserve">  港澳台侨事务</t>
  </si>
  <si>
    <t xml:space="preserve">    行政运行（港澳台侨事务）</t>
  </si>
  <si>
    <t xml:space="preserve">    05</t>
  </si>
  <si>
    <t xml:space="preserve">    台湾事务</t>
  </si>
  <si>
    <t xml:space="preserve">  20126</t>
  </si>
  <si>
    <t xml:space="preserve">  档案事务</t>
  </si>
  <si>
    <t xml:space="preserve">    行政运行（档案事务）</t>
  </si>
  <si>
    <t xml:space="preserve">  20128</t>
  </si>
  <si>
    <t xml:space="preserve">  民主党派及工商联事务</t>
  </si>
  <si>
    <t xml:space="preserve">    行政运行（民主党派及工商联事务）</t>
  </si>
  <si>
    <t xml:space="preserve">  20129</t>
  </si>
  <si>
    <t xml:space="preserve">  群众团体事务</t>
  </si>
  <si>
    <t xml:space="preserve">    行政运行（群众团体事务）</t>
  </si>
  <si>
    <t xml:space="preserve">  20131</t>
  </si>
  <si>
    <t xml:space="preserve">  党委办公厅（室）及相关机构事务</t>
  </si>
  <si>
    <t xml:space="preserve">    行政运行（党委办公厅（室）及相关机构事务）</t>
  </si>
  <si>
    <t xml:space="preserve">  20132</t>
  </si>
  <si>
    <t xml:space="preserve">  组织事务</t>
  </si>
  <si>
    <t xml:space="preserve">    行政运行（组织事务）</t>
  </si>
  <si>
    <t xml:space="preserve">  20133</t>
  </si>
  <si>
    <t xml:space="preserve">  宣传事务</t>
  </si>
  <si>
    <t xml:space="preserve">    行政运行（宣传事务）</t>
  </si>
  <si>
    <t xml:space="preserve">  20134</t>
  </si>
  <si>
    <t xml:space="preserve">  统战事务</t>
  </si>
  <si>
    <t xml:space="preserve">    行政运行（统战事务）</t>
  </si>
  <si>
    <t xml:space="preserve">  20136</t>
  </si>
  <si>
    <t xml:space="preserve">  其他共产党事务支出（一般公共服务支出）</t>
  </si>
  <si>
    <t xml:space="preserve">    行政运行（其他共产党事务支出）</t>
  </si>
  <si>
    <t xml:space="preserve">    机关服务（其他共产党事务支出）</t>
  </si>
  <si>
    <t xml:space="preserve">  20199</t>
  </si>
  <si>
    <t xml:space="preserve">  其他一般公共服务支出</t>
  </si>
  <si>
    <t xml:space="preserve">    其他一般公共服务支出</t>
  </si>
  <si>
    <t>203</t>
  </si>
  <si>
    <t>国防支出</t>
  </si>
  <si>
    <t xml:space="preserve">  20301</t>
  </si>
  <si>
    <t xml:space="preserve">  现役部队</t>
  </si>
  <si>
    <t xml:space="preserve">    现役部队</t>
  </si>
  <si>
    <t>204</t>
  </si>
  <si>
    <t>公共安全支出</t>
  </si>
  <si>
    <t xml:space="preserve">  20401</t>
  </si>
  <si>
    <t xml:space="preserve">  武装警察</t>
  </si>
  <si>
    <t xml:space="preserve">    内卫</t>
  </si>
  <si>
    <t xml:space="preserve">    消防</t>
  </si>
  <si>
    <t xml:space="preserve">  20402</t>
  </si>
  <si>
    <t xml:space="preserve">  公安</t>
  </si>
  <si>
    <t xml:space="preserve">    行政运行（公安）</t>
  </si>
  <si>
    <t xml:space="preserve">    12</t>
  </si>
  <si>
    <t xml:space="preserve">    道路交通管理</t>
  </si>
  <si>
    <t xml:space="preserve">    17</t>
  </si>
  <si>
    <t xml:space="preserve">    拘押收教场所管理</t>
  </si>
  <si>
    <t xml:space="preserve">    其他公安支出</t>
  </si>
  <si>
    <t xml:space="preserve">  20404</t>
  </si>
  <si>
    <t xml:space="preserve">  检察</t>
  </si>
  <si>
    <t xml:space="preserve">    行政运行（检察）</t>
  </si>
  <si>
    <t xml:space="preserve">  20405</t>
  </si>
  <si>
    <t xml:space="preserve">  法院</t>
  </si>
  <si>
    <t xml:space="preserve">    行政运行（法院）</t>
  </si>
  <si>
    <t xml:space="preserve">  20406</t>
  </si>
  <si>
    <t xml:space="preserve">  司法</t>
  </si>
  <si>
    <t xml:space="preserve">    行政运行（司法）</t>
  </si>
  <si>
    <t xml:space="preserve">    06</t>
  </si>
  <si>
    <t xml:space="preserve">    律师公证管理</t>
  </si>
  <si>
    <t xml:space="preserve">  20499</t>
  </si>
  <si>
    <t xml:space="preserve">  其他公共安全支出</t>
  </si>
  <si>
    <t xml:space="preserve">    其他公共安全支出</t>
  </si>
  <si>
    <t>205</t>
  </si>
  <si>
    <t>教育支出</t>
  </si>
  <si>
    <t xml:space="preserve">  20501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</si>
  <si>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</si>
  <si>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</si>
  <si>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</si>
  <si>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20502</t>
  </si>
  <si>
    <t xml:space="preserve">  普通教育</t>
  </si>
  <si>
    <t xml:space="preserve">    学前教育</t>
  </si>
  <si>
    <t xml:space="preserve">    02</t>
  </si>
  <si>
    <t xml:space="preserve">    小学教育</t>
  </si>
  <si>
    <t xml:space="preserve">    初中教育</t>
  </si>
  <si>
    <t xml:space="preserve">    高中教育</t>
  </si>
  <si>
    <t xml:space="preserve">  20503</t>
  </si>
  <si>
    <t xml:space="preserve">  职业教育</t>
  </si>
  <si>
    <t xml:space="preserve">    职业高中教育</t>
  </si>
  <si>
    <t xml:space="preserve">  20504</t>
  </si>
  <si>
    <t xml:space="preserve">  成人教育</t>
  </si>
  <si>
    <t xml:space="preserve">    成人广播电视教育</t>
  </si>
  <si>
    <t xml:space="preserve">  20507</t>
  </si>
  <si>
    <t xml:space="preserve">  特殊教育</t>
  </si>
  <si>
    <t xml:space="preserve">    特殊学校教育</t>
  </si>
  <si>
    <t xml:space="preserve">  20508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</si>
  <si>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</si>
  <si>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</si>
  <si>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</si>
  <si>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</si>
  <si>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20599</t>
  </si>
  <si>
    <t xml:space="preserve">  其他教育支出</t>
  </si>
  <si>
    <t xml:space="preserve">    其他教育支出</t>
  </si>
  <si>
    <t>206</t>
  </si>
  <si>
    <t>科学技术支出</t>
  </si>
  <si>
    <t xml:space="preserve">  20601</t>
  </si>
  <si>
    <t xml:space="preserve">  科学技术管理事务</t>
  </si>
  <si>
    <t xml:space="preserve">    行政运行（科学技术管理事务）</t>
  </si>
  <si>
    <t xml:space="preserve">  20607</t>
  </si>
  <si>
    <t xml:space="preserve">  科学技术普及</t>
  </si>
  <si>
    <t xml:space="preserve">    机构运行（科学技术普及）</t>
  </si>
  <si>
    <t xml:space="preserve">  20699</t>
  </si>
  <si>
    <t xml:space="preserve">  其他科学技术支出</t>
  </si>
  <si>
    <t xml:space="preserve">    其他科学技术支出</t>
  </si>
  <si>
    <t>207</t>
  </si>
  <si>
    <t>文化体育与传媒支出</t>
  </si>
  <si>
    <t xml:space="preserve">  20701</t>
  </si>
  <si>
    <t xml:space="preserve">  文化</t>
  </si>
  <si>
    <t xml:space="preserve">    行政运行（文化）</t>
  </si>
  <si>
    <t xml:space="preserve">    图书馆</t>
  </si>
  <si>
    <t xml:space="preserve">    09</t>
  </si>
  <si>
    <t xml:space="preserve">    群众文化</t>
  </si>
  <si>
    <t xml:space="preserve">    其他文化支出</t>
  </si>
  <si>
    <t xml:space="preserve">  20702</t>
  </si>
  <si>
    <t xml:space="preserve">  文物</t>
  </si>
  <si>
    <t xml:space="preserve">    文物保护</t>
  </si>
  <si>
    <t xml:space="preserve">    博物馆</t>
  </si>
  <si>
    <t xml:space="preserve">  20703</t>
  </si>
  <si>
    <t xml:space="preserve">  体育</t>
  </si>
  <si>
    <t xml:space="preserve">    行政运行（体育）</t>
  </si>
  <si>
    <t xml:space="preserve">    群众体育</t>
  </si>
  <si>
    <t xml:space="preserve">  20704</t>
  </si>
  <si>
    <t xml:space="preserve">  广播影视</t>
  </si>
  <si>
    <t xml:space="preserve">    行政运行（广播影视）</t>
  </si>
  <si>
    <t xml:space="preserve">  20799</t>
  </si>
  <si>
    <t xml:space="preserve">  其他文化体育与传媒支出</t>
  </si>
  <si>
    <t xml:space="preserve">    其他文化体育与传媒支出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</si>
  <si>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</si>
  <si>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</si>
  <si>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</si>
  <si>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</si>
  <si>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</si>
  <si>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</si>
  <si>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社会保险经办机构</t>
  </si>
  <si>
    <t xml:space="preserve">    其他人力资源和社会保障管理事务支出</t>
  </si>
  <si>
    <t xml:space="preserve">  20802</t>
  </si>
  <si>
    <t xml:space="preserve">  民政管理事务</t>
  </si>
  <si>
    <t xml:space="preserve">    行政运行（民政管理事务）</t>
  </si>
  <si>
    <t xml:space="preserve">    拥军优属</t>
  </si>
  <si>
    <t xml:space="preserve">    老龄事务</t>
  </si>
  <si>
    <t xml:space="preserve">    07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</si>
  <si>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</si>
  <si>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</si>
  <si>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</si>
  <si>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20803</t>
  </si>
  <si>
    <t xml:space="preserve">  财政对社会保险基金的补助</t>
  </si>
  <si>
    <t xml:space="preserve">    财政对城乡居民基本养老保险基金的补助</t>
  </si>
  <si>
    <t xml:space="preserve">  20805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</si>
  <si>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</si>
  <si>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</si>
  <si>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</si>
  <si>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20806</t>
  </si>
  <si>
    <t xml:space="preserve">  企业改革补助</t>
  </si>
  <si>
    <t xml:space="preserve">    企业关闭破产补助</t>
  </si>
  <si>
    <t xml:space="preserve">  20807</t>
  </si>
  <si>
    <t xml:space="preserve">  就业补助</t>
  </si>
  <si>
    <t xml:space="preserve">    小额担保贷款贴息</t>
  </si>
  <si>
    <t xml:space="preserve">    其他就业补助支出</t>
  </si>
  <si>
    <t xml:space="preserve">  20808</t>
  </si>
  <si>
    <t xml:space="preserve">  抚恤</t>
  </si>
  <si>
    <t xml:space="preserve">    义务兵优待</t>
  </si>
  <si>
    <t xml:space="preserve">    其他优抚支出</t>
  </si>
  <si>
    <t xml:space="preserve">  20809</t>
  </si>
  <si>
    <t xml:space="preserve">  退役安置</t>
  </si>
  <si>
    <t xml:space="preserve">    退役士兵安置</t>
  </si>
  <si>
    <t xml:space="preserve">  20810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</si>
  <si>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</si>
  <si>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</si>
  <si>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</si>
  <si>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</si>
  <si>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20811</t>
  </si>
  <si>
    <t xml:space="preserve">  残疾人事业</t>
  </si>
  <si>
    <t xml:space="preserve">    行政运行（残疾人事业）</t>
  </si>
  <si>
    <t xml:space="preserve">    其他残疾人事业支出</t>
  </si>
  <si>
    <t xml:space="preserve">  20816</t>
  </si>
  <si>
    <t xml:space="preserve">  红十字事业</t>
  </si>
  <si>
    <t xml:space="preserve">    其他红十字事业支出</t>
  </si>
  <si>
    <t xml:space="preserve">  20819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</si>
  <si>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</si>
  <si>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</si>
  <si>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</si>
  <si>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20820</t>
  </si>
  <si>
    <t xml:space="preserve">  临时救助</t>
  </si>
  <si>
    <t xml:space="preserve">    临时救助支出</t>
  </si>
  <si>
    <t xml:space="preserve">    流浪乞讨人员救助支出</t>
  </si>
  <si>
    <t xml:space="preserve">  20821</t>
  </si>
  <si>
    <t xml:space="preserve">  特困人员供养</t>
  </si>
  <si>
    <t xml:space="preserve">    农村五保供养支出</t>
  </si>
  <si>
    <t xml:space="preserve">  20825</t>
  </si>
  <si>
    <t xml:space="preserve">  其他生活救助</t>
  </si>
  <si>
    <t xml:space="preserve">    其他城市生活救助</t>
  </si>
  <si>
    <t xml:space="preserve">    其他农村生活救助</t>
  </si>
  <si>
    <t xml:space="preserve">  20899</t>
  </si>
  <si>
    <t xml:space="preserve">  其他社会保障和就业支出</t>
  </si>
  <si>
    <t xml:space="preserve">    其他社会保障和就业支出</t>
  </si>
  <si>
    <t>210</t>
  </si>
  <si>
    <t>医疗卫生与计划生育支出</t>
  </si>
  <si>
    <t xml:space="preserve">  21001</t>
  </si>
  <si>
    <t xml:space="preserve">  医疗卫生与计划生育管理事务</t>
  </si>
  <si>
    <t xml:space="preserve">    行政运行（医疗卫生管理事务）</t>
  </si>
  <si>
    <t xml:space="preserve">    机关服务（医疗卫生管理事务）</t>
  </si>
  <si>
    <t xml:space="preserve">  21002</t>
  </si>
  <si>
    <t xml:space="preserve">  公立医院</t>
  </si>
  <si>
    <t xml:space="preserve">    综合医院</t>
  </si>
  <si>
    <t xml:space="preserve">    中医（民族）医院</t>
  </si>
  <si>
    <t xml:space="preserve">    其他公立医院支出</t>
  </si>
  <si>
    <t xml:space="preserve">  21003</t>
  </si>
  <si>
    <t xml:space="preserve">  基层医疗卫生机构</t>
  </si>
  <si>
    <t xml:space="preserve">    城市社区卫生机构</t>
  </si>
  <si>
    <t xml:space="preserve">    乡镇卫生院</t>
  </si>
  <si>
    <t xml:space="preserve">  21004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</si>
  <si>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</si>
  <si>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</si>
  <si>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</si>
  <si>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</si>
  <si>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</si>
  <si>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21005</t>
  </si>
  <si>
    <t xml:space="preserve">  医疗保障</t>
  </si>
  <si>
    <t xml:space="preserve">    行政单位医疗</t>
  </si>
  <si>
    <t xml:space="preserve">    优抚对象医疗补助</t>
  </si>
  <si>
    <t xml:space="preserve">    新型农村合作医疗</t>
  </si>
  <si>
    <t xml:space="preserve">    城乡医疗救助</t>
  </si>
  <si>
    <t xml:space="preserve">  21007</t>
  </si>
  <si>
    <t xml:space="preserve">  计划生育事务</t>
  </si>
  <si>
    <t xml:space="preserve">    16</t>
  </si>
  <si>
    <t xml:space="preserve">    计划生育机构</t>
  </si>
  <si>
    <t xml:space="preserve">    计划生育服务</t>
  </si>
  <si>
    <t xml:space="preserve">    其他计划生育事务支出</t>
  </si>
  <si>
    <t xml:space="preserve">  21010</t>
  </si>
  <si>
    <t xml:space="preserve">  食品和药品监督管理事务</t>
  </si>
  <si>
    <t xml:space="preserve">    行政运行（食品和药品监督管理事务）</t>
  </si>
  <si>
    <t xml:space="preserve">    其他食品和药品监督管理事务支出</t>
  </si>
  <si>
    <t xml:space="preserve">  21099</t>
  </si>
  <si>
    <t xml:space="preserve">  其他医疗卫生与计划生育支出</t>
  </si>
  <si>
    <t xml:space="preserve">    其他医疗卫生与计划生育支出</t>
  </si>
  <si>
    <t>211</t>
  </si>
  <si>
    <t>节能环保支出</t>
  </si>
  <si>
    <t xml:space="preserve">  21101</t>
  </si>
  <si>
    <t xml:space="preserve">  环境保护管理事务</t>
  </si>
  <si>
    <t xml:space="preserve">    行政运行（环境保护管理事务）</t>
  </si>
  <si>
    <t xml:space="preserve">  21102</t>
  </si>
  <si>
    <t xml:space="preserve">  环境监测与监察</t>
  </si>
  <si>
    <t xml:space="preserve">    其他环境监测与监察支出</t>
  </si>
  <si>
    <t xml:space="preserve">  21103</t>
  </si>
  <si>
    <t xml:space="preserve">  污染防治</t>
  </si>
  <si>
    <t xml:space="preserve">    水体</t>
  </si>
  <si>
    <t xml:space="preserve">    排污费安排的支出</t>
  </si>
  <si>
    <t xml:space="preserve">  21104</t>
  </si>
  <si>
    <t xml:space="preserve">  自然生态保护</t>
  </si>
  <si>
    <t xml:space="preserve">    生态保护</t>
  </si>
  <si>
    <t xml:space="preserve">    农村环境保护</t>
  </si>
  <si>
    <t>212</t>
  </si>
  <si>
    <t>城乡社区支出</t>
  </si>
  <si>
    <t xml:space="preserve">  21201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</si>
  <si>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</si>
  <si>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</si>
  <si>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</si>
  <si>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工程建设标准规范编制与监管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</si>
  <si>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</si>
  <si>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</si>
  <si>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</si>
  <si>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21202</t>
  </si>
  <si>
    <t xml:space="preserve">  城乡社区规划与管理</t>
  </si>
  <si>
    <t xml:space="preserve">    城乡社区规划与管理</t>
  </si>
  <si>
    <t xml:space="preserve">  21203</t>
  </si>
  <si>
    <t xml:space="preserve">  城乡社区公共设施</t>
  </si>
  <si>
    <t xml:space="preserve">    其他城乡社区公共设施支出</t>
  </si>
  <si>
    <t xml:space="preserve">  21205</t>
  </si>
  <si>
    <t xml:space="preserve">  城乡社区环境卫生</t>
  </si>
  <si>
    <t xml:space="preserve">    城乡社区环境卫生</t>
  </si>
  <si>
    <t xml:space="preserve">  21206</t>
  </si>
  <si>
    <t xml:space="preserve">  建设市场管理与监督</t>
  </si>
  <si>
    <t xml:space="preserve">    建设市场管理与监督</t>
  </si>
  <si>
    <t xml:space="preserve">  21208</t>
  </si>
  <si>
    <t xml:space="preserve">  国有土地使用权出让收入安排的支出</t>
  </si>
  <si>
    <t xml:space="preserve">    教育资金安排的支出</t>
  </si>
  <si>
    <t xml:space="preserve">    农田水利建设资金安排的支出</t>
  </si>
  <si>
    <t xml:space="preserve">  21299</t>
  </si>
  <si>
    <t xml:space="preserve">  其他城乡社区支出</t>
  </si>
  <si>
    <t xml:space="preserve">    其他城乡社区支出</t>
  </si>
  <si>
    <t>213</t>
  </si>
  <si>
    <t>农林水支出</t>
  </si>
  <si>
    <t xml:space="preserve">  21301</t>
  </si>
  <si>
    <t xml:space="preserve">  农业（农林水支出）</t>
  </si>
  <si>
    <t xml:space="preserve">    行政运行（农业）</t>
  </si>
  <si>
    <t xml:space="preserve">    事业运行（农业）</t>
  </si>
  <si>
    <t xml:space="preserve">    23</t>
  </si>
  <si>
    <t xml:space="preserve">    农业生产保险补贴</t>
  </si>
  <si>
    <t xml:space="preserve">    24</t>
  </si>
  <si>
    <t xml:space="preserve">    农业组织化与产业化经营</t>
  </si>
  <si>
    <t xml:space="preserve">    26</t>
  </si>
  <si>
    <t xml:space="preserve">    农村公益事业</t>
  </si>
  <si>
    <t xml:space="preserve">    其他农业支出</t>
  </si>
  <si>
    <t xml:space="preserve">  21302</t>
  </si>
  <si>
    <t xml:space="preserve">  林业</t>
  </si>
  <si>
    <t xml:space="preserve">    行政运行（林业）</t>
  </si>
  <si>
    <t xml:space="preserve">    林业事业机构</t>
  </si>
  <si>
    <t xml:space="preserve">  21303</t>
  </si>
  <si>
    <t xml:space="preserve">  水利</t>
  </si>
  <si>
    <t xml:space="preserve">    行政运行（水利）</t>
  </si>
  <si>
    <t xml:space="preserve">    水利技术推广</t>
  </si>
  <si>
    <t xml:space="preserve">    31</t>
  </si>
  <si>
    <t xml:space="preserve">    水资源费安排的支出</t>
  </si>
  <si>
    <t xml:space="preserve">    34</t>
  </si>
  <si>
    <t xml:space="preserve">    水利建设移民支出</t>
  </si>
  <si>
    <t xml:space="preserve">    其他水利支出</t>
  </si>
  <si>
    <t xml:space="preserve">  21305</t>
  </si>
  <si>
    <t xml:space="preserve">  扶贫</t>
  </si>
  <si>
    <t xml:space="preserve">    其他扶贫支出</t>
  </si>
  <si>
    <t xml:space="preserve">  21306</t>
  </si>
  <si>
    <t xml:space="preserve">  农业综合开发</t>
  </si>
  <si>
    <t xml:space="preserve">    其他农业综合开发支出</t>
  </si>
  <si>
    <t xml:space="preserve">  21307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</si>
  <si>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</si>
  <si>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</si>
  <si>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</si>
  <si>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21399</t>
  </si>
  <si>
    <t xml:space="preserve">  其他农林水支出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</si>
  <si>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</si>
  <si>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</si>
  <si>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</si>
  <si>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</si>
  <si>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</si>
  <si>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行政运行（公路水路运输）</t>
  </si>
  <si>
    <t xml:space="preserve">    公路养护（公路水路运输）</t>
  </si>
  <si>
    <t xml:space="preserve">    39</t>
  </si>
  <si>
    <t xml:space="preserve">    取消政府还贷二级公路收费专项支出</t>
  </si>
  <si>
    <t xml:space="preserve">  21499</t>
  </si>
  <si>
    <t xml:space="preserve">  其他交通运输支出</t>
  </si>
  <si>
    <t xml:space="preserve">    公共交通运营补助</t>
  </si>
  <si>
    <t>215</t>
  </si>
  <si>
    <t>资源勘探信息等支出</t>
  </si>
  <si>
    <t xml:space="preserve">  21501</t>
  </si>
  <si>
    <t xml:space="preserve">  资源勘探开发</t>
  </si>
  <si>
    <t xml:space="preserve">    行政运行（资源勘探开发）</t>
  </si>
  <si>
    <t xml:space="preserve">  21502</t>
  </si>
  <si>
    <t xml:space="preserve">  制造业</t>
  </si>
  <si>
    <t xml:space="preserve">    行政运行（制造业）</t>
  </si>
  <si>
    <t xml:space="preserve">  21506</t>
  </si>
  <si>
    <t xml:space="preserve">  安全生产监管</t>
  </si>
  <si>
    <t xml:space="preserve">    行政运行（安全生产监管）</t>
  </si>
  <si>
    <t xml:space="preserve">    安全监管监察专项</t>
  </si>
  <si>
    <t xml:space="preserve">  21507</t>
  </si>
  <si>
    <t xml:space="preserve">  国有资产监管</t>
  </si>
  <si>
    <t xml:space="preserve">    其他国有资产监管支出</t>
  </si>
  <si>
    <t xml:space="preserve">  21508</t>
  </si>
  <si>
    <t xml:space="preserve">  支持中小企业发展和管理支出</t>
  </si>
  <si>
    <t xml:space="preserve">    行政运行（支持中小企业发展和管理支出）</t>
  </si>
  <si>
    <t>216</t>
  </si>
  <si>
    <t>商业服务业等支出</t>
  </si>
  <si>
    <t xml:space="preserve">  21602</t>
  </si>
  <si>
    <t xml:space="preserve">  商业流通事务</t>
  </si>
  <si>
    <t xml:space="preserve">    行政运行（商业流通事务）</t>
  </si>
  <si>
    <t xml:space="preserve">  21605</t>
  </si>
  <si>
    <t xml:space="preserve">  旅游业管理与服务支出</t>
  </si>
  <si>
    <t xml:space="preserve">    行政运行（旅游业管理与服务支出）</t>
  </si>
  <si>
    <t xml:space="preserve">    其他旅游业管理与服务支出</t>
  </si>
  <si>
    <t>220</t>
  </si>
  <si>
    <t>国土海洋气象等支出</t>
  </si>
  <si>
    <t xml:space="preserve">  22001</t>
  </si>
  <si>
    <t xml:space="preserve">  国土资源事务</t>
  </si>
  <si>
    <t xml:space="preserve">    行政运行（国土资源事务）</t>
  </si>
  <si>
    <t xml:space="preserve">    20</t>
  </si>
  <si>
    <t xml:space="preserve">    矿产资源专项收入安排的支出</t>
  </si>
  <si>
    <t xml:space="preserve">    其他国土资源事务支出</t>
  </si>
  <si>
    <t xml:space="preserve">  22005</t>
  </si>
  <si>
    <t xml:space="preserve">  气象事务</t>
  </si>
  <si>
    <t xml:space="preserve">    气象事业机构</t>
  </si>
  <si>
    <t>221</t>
  </si>
  <si>
    <t>住房保障支出</t>
  </si>
  <si>
    <t xml:space="preserve">  22102</t>
  </si>
  <si>
    <t xml:space="preserve">  住房改革支出</t>
  </si>
  <si>
    <t xml:space="preserve">    购房补贴</t>
  </si>
  <si>
    <t xml:space="preserve">  22103</t>
  </si>
  <si>
    <t xml:space="preserve">  城乡社区住宅</t>
  </si>
  <si>
    <t xml:space="preserve">    其他城乡社区住宅支出</t>
  </si>
  <si>
    <t>222</t>
  </si>
  <si>
    <t>粮油物资储备支出</t>
  </si>
  <si>
    <t xml:space="preserve">  22201</t>
  </si>
  <si>
    <t xml:space="preserve">  粮油事务</t>
  </si>
  <si>
    <t xml:space="preserve">    行政运行（粮油事务）</t>
  </si>
  <si>
    <t xml:space="preserve">    15</t>
  </si>
  <si>
    <t xml:space="preserve">    粮食风险基金</t>
  </si>
  <si>
    <t>228</t>
  </si>
  <si>
    <t>国债还本付息支出</t>
  </si>
  <si>
    <t xml:space="preserve">  22801</t>
  </si>
  <si>
    <t xml:space="preserve">  国内债务还本</t>
  </si>
  <si>
    <t xml:space="preserve">    </t>
  </si>
  <si>
    <t xml:space="preserve">    国内债务还本</t>
  </si>
  <si>
    <t>229</t>
  </si>
  <si>
    <t xml:space="preserve">  22999</t>
  </si>
  <si>
    <t xml:space="preserve">  其他支出</t>
  </si>
  <si>
    <t xml:space="preserve">    其他支出</t>
  </si>
  <si>
    <t>单位：万元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</si>
</sst>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* #,##0.00;* \-#,##0.00;* &quot;&quot;??;@"/>
    <numFmt numFmtId="179" formatCode="00"/>
    <numFmt numFmtId="180" formatCode="#,##0.0"/>
    <numFmt numFmtId="181" formatCode="0_ "/>
    <numFmt numFmtId="182" formatCode="0.0_ "/>
    <numFmt numFmtId="183" formatCode="#,##0.00_ ;\-#,##0.00;;"/>
    <numFmt numFmtId="184" formatCode="0_ ;[Red]\-0\ "/>
    <numFmt numFmtId="185" formatCode="0.00_ "/>
    <numFmt numFmtId="186" formatCode="yyyy&quot;年&quot;m&quot;月&quot;d&quot;日&quot;;@"/>
  </numFmts>
  <fonts count="28">
    <font>
      <sz val="12"/>
      <name val="宋体"/>
      <family val="0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sz val="12"/>
      <name val="黑体"/>
      <family val="3"/>
    </font>
    <font>
      <b/>
      <sz val="20"/>
      <name val="黑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b/>
      <sz val="12"/>
      <color indexed="14"/>
      <name val="宋体"/>
      <family val="0"/>
    </font>
    <font>
      <sz val="12"/>
      <color indexed="14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4"/>
      <name val="宋体"/>
      <family val="0"/>
    </font>
    <font>
      <sz val="11"/>
      <color indexed="14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5">
    <xf numFmtId="0" fontId="0" fillId="0" borderId="0" xfId="0" applyAlignment="1">
      <alignment vertical="center"/>
    </xf>
    <xf numFmtId="0" fontId="5" fillId="0" borderId="0" xfId="19" applyFont="1">
      <alignment/>
      <protection/>
    </xf>
    <xf numFmtId="0" fontId="5" fillId="0" borderId="0" xfId="19">
      <alignment/>
      <protection/>
    </xf>
    <xf numFmtId="0" fontId="5" fillId="0" borderId="0" xfId="0" applyFont="1" applyAlignment="1">
      <alignment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2" fillId="0" borderId="4" xfId="0" applyNumberFormat="1" applyFont="1" applyFill="1" applyBorder="1" applyAlignment="1" applyProtection="1">
      <alignment vertical="center"/>
      <protection/>
    </xf>
    <xf numFmtId="0" fontId="0" fillId="0" borderId="5" xfId="0" applyFont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182" fontId="10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183" fontId="12" fillId="0" borderId="4" xfId="0" applyNumberFormat="1" applyFont="1" applyFill="1" applyBorder="1" applyAlignment="1" applyProtection="1">
      <alignment horizontal="right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81" fontId="7" fillId="0" borderId="0" xfId="0" applyNumberFormat="1" applyFont="1" applyAlignment="1" applyProtection="1">
      <alignment vertical="center"/>
      <protection locked="0"/>
    </xf>
    <xf numFmtId="181" fontId="10" fillId="0" borderId="0" xfId="0" applyNumberFormat="1" applyFont="1" applyAlignment="1" applyProtection="1">
      <alignment vertical="center"/>
      <protection locked="0"/>
    </xf>
    <xf numFmtId="181" fontId="0" fillId="0" borderId="0" xfId="0" applyNumberFormat="1" applyFont="1" applyAlignment="1" applyProtection="1">
      <alignment vertical="center"/>
      <protection locked="0"/>
    </xf>
    <xf numFmtId="181" fontId="0" fillId="0" borderId="0" xfId="0" applyNumberFormat="1" applyFont="1" applyAlignment="1" applyProtection="1">
      <alignment horizontal="center" vertical="center"/>
      <protection locked="0"/>
    </xf>
    <xf numFmtId="181" fontId="0" fillId="0" borderId="0" xfId="0" applyNumberFormat="1" applyFont="1" applyAlignment="1" applyProtection="1">
      <alignment horizontal="center"/>
      <protection locked="0"/>
    </xf>
    <xf numFmtId="181" fontId="10" fillId="0" borderId="10" xfId="0" applyNumberFormat="1" applyFont="1" applyBorder="1" applyAlignment="1" applyProtection="1">
      <alignment horizontal="center" vertical="center"/>
      <protection locked="0"/>
    </xf>
    <xf numFmtId="181" fontId="14" fillId="0" borderId="1" xfId="0" applyNumberFormat="1" applyFont="1" applyBorder="1" applyAlignment="1" applyProtection="1">
      <alignment vertical="center"/>
      <protection locked="0"/>
    </xf>
    <xf numFmtId="181" fontId="0" fillId="0" borderId="1" xfId="0" applyNumberFormat="1" applyFont="1" applyBorder="1" applyAlignment="1" applyProtection="1">
      <alignment horizontal="center" vertical="center"/>
      <protection/>
    </xf>
    <xf numFmtId="182" fontId="0" fillId="0" borderId="1" xfId="0" applyNumberFormat="1" applyFont="1" applyBorder="1" applyAlignment="1" applyProtection="1">
      <alignment horizontal="center" vertical="center"/>
      <protection locked="0"/>
    </xf>
    <xf numFmtId="181" fontId="0" fillId="0" borderId="1" xfId="0" applyNumberFormat="1" applyFont="1" applyBorder="1" applyAlignment="1" applyProtection="1">
      <alignment horizontal="center" vertical="center"/>
      <protection locked="0"/>
    </xf>
    <xf numFmtId="181" fontId="0" fillId="0" borderId="1" xfId="0" applyNumberFormat="1" applyFont="1" applyBorder="1" applyAlignment="1" applyProtection="1">
      <alignment horizontal="left" vertical="center"/>
      <protection locked="0"/>
    </xf>
    <xf numFmtId="181" fontId="10" fillId="0" borderId="1" xfId="0" applyNumberFormat="1" applyFont="1" applyBorder="1" applyAlignment="1" applyProtection="1">
      <alignment horizontal="center" vertical="center"/>
      <protection locked="0"/>
    </xf>
    <xf numFmtId="181" fontId="10" fillId="0" borderId="1" xfId="0" applyNumberFormat="1" applyFont="1" applyBorder="1" applyAlignment="1" applyProtection="1">
      <alignment horizontal="center" vertical="center"/>
      <protection/>
    </xf>
    <xf numFmtId="182" fontId="10" fillId="0" borderId="1" xfId="0" applyNumberFormat="1" applyFont="1" applyBorder="1" applyAlignment="1" applyProtection="1">
      <alignment horizontal="center" vertical="center"/>
      <protection locked="0"/>
    </xf>
    <xf numFmtId="181" fontId="10" fillId="0" borderId="1" xfId="0" applyNumberFormat="1" applyFont="1" applyBorder="1" applyAlignment="1" applyProtection="1">
      <alignment vertical="center"/>
      <protection locked="0"/>
    </xf>
    <xf numFmtId="181" fontId="0" fillId="0" borderId="1" xfId="0" applyNumberFormat="1" applyFont="1" applyBorder="1" applyAlignment="1" applyProtection="1">
      <alignment vertical="center"/>
      <protection locked="0"/>
    </xf>
    <xf numFmtId="181" fontId="0" fillId="0" borderId="1" xfId="0" applyNumberFormat="1" applyFont="1" applyFill="1" applyBorder="1" applyAlignment="1" applyProtection="1">
      <alignment horizontal="center" vertical="center"/>
      <protection/>
    </xf>
    <xf numFmtId="181" fontId="0" fillId="0" borderId="1" xfId="0" applyNumberFormat="1" applyFont="1" applyFill="1" applyBorder="1" applyAlignment="1" applyProtection="1">
      <alignment horizontal="center" vertical="center"/>
      <protection locked="0"/>
    </xf>
    <xf numFmtId="181" fontId="0" fillId="0" borderId="1" xfId="0" applyNumberFormat="1" applyFont="1" applyBorder="1" applyAlignment="1" applyProtection="1">
      <alignment horizontal="left" indent="1"/>
      <protection locked="0"/>
    </xf>
    <xf numFmtId="182" fontId="15" fillId="0" borderId="1" xfId="0" applyNumberFormat="1" applyFont="1" applyBorder="1" applyAlignment="1" applyProtection="1">
      <alignment horizontal="center" vertical="center"/>
      <protection locked="0"/>
    </xf>
    <xf numFmtId="181" fontId="7" fillId="0" borderId="0" xfId="0" applyNumberFormat="1" applyFont="1" applyFill="1" applyAlignment="1" applyProtection="1">
      <alignment vertical="center"/>
      <protection locked="0"/>
    </xf>
    <xf numFmtId="181" fontId="10" fillId="0" borderId="0" xfId="0" applyNumberFormat="1" applyFont="1" applyFill="1" applyAlignment="1" applyProtection="1">
      <alignment vertical="center"/>
      <protection locked="0"/>
    </xf>
    <xf numFmtId="181" fontId="16" fillId="0" borderId="0" xfId="0" applyNumberFormat="1" applyFont="1" applyFill="1" applyAlignment="1" applyProtection="1">
      <alignment vertical="center"/>
      <protection locked="0"/>
    </xf>
    <xf numFmtId="181" fontId="17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Alignment="1" applyProtection="1">
      <alignment vertical="center"/>
      <protection locked="0"/>
    </xf>
    <xf numFmtId="181" fontId="0" fillId="0" borderId="0" xfId="0" applyNumberFormat="1" applyFont="1" applyFill="1" applyAlignment="1" applyProtection="1">
      <alignment horizontal="center" vertical="center"/>
      <protection locked="0"/>
    </xf>
    <xf numFmtId="181" fontId="10" fillId="0" borderId="10" xfId="0" applyNumberFormat="1" applyFont="1" applyFill="1" applyBorder="1" applyAlignment="1" applyProtection="1">
      <alignment horizontal="center" vertical="center"/>
      <protection locked="0"/>
    </xf>
    <xf numFmtId="181" fontId="14" fillId="0" borderId="1" xfId="0" applyNumberFormat="1" applyFont="1" applyFill="1" applyBorder="1" applyAlignment="1" applyProtection="1">
      <alignment vertical="center"/>
      <protection locked="0"/>
    </xf>
    <xf numFmtId="181" fontId="0" fillId="0" borderId="1" xfId="0" applyNumberFormat="1" applyFont="1" applyFill="1" applyBorder="1" applyAlignment="1" applyProtection="1">
      <alignment horizontal="center" vertical="center"/>
      <protection/>
    </xf>
    <xf numFmtId="181" fontId="0" fillId="0" borderId="1" xfId="0" applyNumberFormat="1" applyFont="1" applyFill="1" applyBorder="1" applyAlignment="1" applyProtection="1">
      <alignment vertical="center"/>
      <protection locked="0"/>
    </xf>
    <xf numFmtId="18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1" xfId="21" applyNumberFormat="1" applyFont="1" applyFill="1" applyBorder="1" applyAlignment="1" applyProtection="1">
      <alignment horizontal="center" vertical="center" wrapText="1"/>
      <protection/>
    </xf>
    <xf numFmtId="182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1" fontId="18" fillId="0" borderId="12" xfId="21" applyNumberFormat="1" applyFont="1" applyFill="1" applyBorder="1" applyAlignment="1" applyProtection="1">
      <alignment horizontal="center" vertical="center" wrapText="1"/>
      <protection/>
    </xf>
    <xf numFmtId="182" fontId="15" fillId="0" borderId="1" xfId="0" applyNumberFormat="1" applyFont="1" applyFill="1" applyBorder="1" applyAlignment="1" applyProtection="1">
      <alignment horizontal="center" vertical="center"/>
      <protection/>
    </xf>
    <xf numFmtId="181" fontId="0" fillId="0" borderId="1" xfId="0" applyNumberFormat="1" applyFont="1" applyBorder="1" applyAlignment="1" applyProtection="1">
      <alignment vertical="center"/>
      <protection locked="0"/>
    </xf>
    <xf numFmtId="1" fontId="0" fillId="0" borderId="13" xfId="21" applyNumberFormat="1" applyFont="1" applyFill="1" applyBorder="1" applyAlignment="1" applyProtection="1">
      <alignment horizontal="center" vertical="center" wrapText="1"/>
      <protection/>
    </xf>
    <xf numFmtId="181" fontId="0" fillId="0" borderId="1" xfId="0" applyNumberFormat="1" applyFont="1" applyFill="1" applyBorder="1" applyAlignment="1" applyProtection="1">
      <alignment vertical="center"/>
      <protection locked="0"/>
    </xf>
    <xf numFmtId="181" fontId="10" fillId="0" borderId="1" xfId="0" applyNumberFormat="1" applyFont="1" applyFill="1" applyBorder="1" applyAlignment="1" applyProtection="1">
      <alignment horizontal="center" vertical="center"/>
      <protection locked="0"/>
    </xf>
    <xf numFmtId="181" fontId="10" fillId="0" borderId="1" xfId="0" applyNumberFormat="1" applyFont="1" applyFill="1" applyBorder="1" applyAlignment="1" applyProtection="1">
      <alignment horizontal="center" vertical="center"/>
      <protection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1" fontId="10" fillId="0" borderId="1" xfId="0" applyNumberFormat="1" applyFont="1" applyFill="1" applyBorder="1" applyAlignment="1" applyProtection="1">
      <alignment vertical="center"/>
      <protection locked="0"/>
    </xf>
    <xf numFmtId="181" fontId="10" fillId="0" borderId="1" xfId="0" applyNumberFormat="1" applyFont="1" applyFill="1" applyBorder="1" applyAlignment="1" applyProtection="1">
      <alignment horizontal="left" vertical="center"/>
      <protection locked="0"/>
    </xf>
    <xf numFmtId="184" fontId="0" fillId="2" borderId="1" xfId="20" applyNumberFormat="1" applyFont="1" applyFill="1" applyBorder="1" applyAlignment="1" applyProtection="1">
      <alignment horizontal="center" vertical="center"/>
      <protection locked="0"/>
    </xf>
    <xf numFmtId="181" fontId="0" fillId="0" borderId="1" xfId="0" applyNumberFormat="1" applyFont="1" applyFill="1" applyBorder="1" applyAlignment="1" applyProtection="1">
      <alignment vertical="center" wrapText="1"/>
      <protection locked="0"/>
    </xf>
    <xf numFmtId="181" fontId="17" fillId="0" borderId="1" xfId="0" applyNumberFormat="1" applyFont="1" applyFill="1" applyBorder="1" applyAlignment="1" applyProtection="1">
      <alignment vertical="center"/>
      <protection locked="0"/>
    </xf>
    <xf numFmtId="181" fontId="17" fillId="0" borderId="1" xfId="0" applyNumberFormat="1" applyFont="1" applyBorder="1" applyAlignment="1" applyProtection="1">
      <alignment horizontal="center" vertical="center"/>
      <protection locked="0"/>
    </xf>
    <xf numFmtId="181" fontId="16" fillId="0" borderId="1" xfId="0" applyNumberFormat="1" applyFont="1" applyFill="1" applyBorder="1" applyAlignment="1" applyProtection="1">
      <alignment horizontal="center" vertical="center"/>
      <protection/>
    </xf>
    <xf numFmtId="182" fontId="16" fillId="0" borderId="1" xfId="0" applyNumberFormat="1" applyFont="1" applyFill="1" applyBorder="1" applyAlignment="1" applyProtection="1">
      <alignment horizontal="center" vertical="center"/>
      <protection/>
    </xf>
    <xf numFmtId="181" fontId="16" fillId="0" borderId="1" xfId="0" applyNumberFormat="1" applyFont="1" applyFill="1" applyBorder="1" applyAlignment="1" applyProtection="1">
      <alignment horizontal="left" vertical="center"/>
      <protection locked="0"/>
    </xf>
    <xf numFmtId="181" fontId="18" fillId="0" borderId="1" xfId="0" applyNumberFormat="1" applyFont="1" applyBorder="1" applyAlignment="1" applyProtection="1">
      <alignment horizontal="center" vertical="center"/>
      <protection locked="0"/>
    </xf>
    <xf numFmtId="181" fontId="0" fillId="0" borderId="1" xfId="0" applyNumberFormat="1" applyFont="1" applyFill="1" applyBorder="1" applyAlignment="1" applyProtection="1">
      <alignment horizontal="left" vertical="center"/>
      <protection locked="0"/>
    </xf>
    <xf numFmtId="181" fontId="18" fillId="0" borderId="1" xfId="0" applyNumberFormat="1" applyFont="1" applyFill="1" applyBorder="1" applyAlignment="1" applyProtection="1">
      <alignment horizontal="center" vertical="center"/>
      <protection locked="0"/>
    </xf>
    <xf numFmtId="182" fontId="19" fillId="0" borderId="1" xfId="0" applyNumberFormat="1" applyFont="1" applyFill="1" applyBorder="1" applyAlignment="1" applyProtection="1">
      <alignment horizontal="center" vertical="center"/>
      <protection/>
    </xf>
    <xf numFmtId="181" fontId="17" fillId="0" borderId="1" xfId="0" applyNumberFormat="1" applyFont="1" applyFill="1" applyBorder="1" applyAlignment="1" applyProtection="1">
      <alignment vertical="center" wrapText="1"/>
      <protection locked="0"/>
    </xf>
    <xf numFmtId="181" fontId="17" fillId="0" borderId="1" xfId="0" applyNumberFormat="1" applyFont="1" applyFill="1" applyBorder="1" applyAlignment="1" applyProtection="1">
      <alignment horizontal="center" vertical="center"/>
      <protection/>
    </xf>
    <xf numFmtId="182" fontId="17" fillId="0" borderId="1" xfId="0" applyNumberFormat="1" applyFont="1" applyFill="1" applyBorder="1" applyAlignment="1" applyProtection="1">
      <alignment horizontal="center" vertical="center"/>
      <protection/>
    </xf>
    <xf numFmtId="181" fontId="17" fillId="0" borderId="1" xfId="0" applyNumberFormat="1" applyFont="1" applyFill="1" applyBorder="1" applyAlignment="1" applyProtection="1">
      <alignment horizontal="left" vertical="center"/>
      <protection locked="0"/>
    </xf>
    <xf numFmtId="181" fontId="17" fillId="0" borderId="1" xfId="0" applyNumberFormat="1" applyFont="1" applyFill="1" applyBorder="1" applyAlignment="1" applyProtection="1">
      <alignment horizontal="center" vertical="center"/>
      <protection locked="0"/>
    </xf>
    <xf numFmtId="184" fontId="17" fillId="2" borderId="1" xfId="20" applyNumberFormat="1" applyFont="1" applyFill="1" applyBorder="1" applyAlignment="1" applyProtection="1">
      <alignment horizontal="center" vertical="center"/>
      <protection locked="0"/>
    </xf>
    <xf numFmtId="185" fontId="0" fillId="0" borderId="0" xfId="0" applyNumberFormat="1" applyFont="1" applyFill="1" applyAlignment="1" applyProtection="1">
      <alignment vertical="center"/>
      <protection locked="0"/>
    </xf>
    <xf numFmtId="184" fontId="0" fillId="0" borderId="1" xfId="20" applyNumberFormat="1" applyFont="1" applyFill="1" applyBorder="1" applyAlignment="1" applyProtection="1">
      <alignment horizontal="center" vertical="center"/>
      <protection locked="0"/>
    </xf>
    <xf numFmtId="181" fontId="9" fillId="0" borderId="1" xfId="0" applyNumberFormat="1" applyFont="1" applyBorder="1" applyAlignment="1" applyProtection="1">
      <alignment vertical="center"/>
      <protection locked="0"/>
    </xf>
    <xf numFmtId="181" fontId="9" fillId="0" borderId="1" xfId="0" applyNumberFormat="1" applyFont="1" applyFill="1" applyBorder="1" applyAlignment="1" applyProtection="1">
      <alignment horizontal="center" vertical="center"/>
      <protection locked="0"/>
    </xf>
    <xf numFmtId="181" fontId="20" fillId="0" borderId="1" xfId="0" applyNumberFormat="1" applyFont="1" applyFill="1" applyBorder="1" applyAlignment="1" applyProtection="1">
      <alignment horizontal="center" vertical="center"/>
      <protection/>
    </xf>
    <xf numFmtId="185" fontId="20" fillId="0" borderId="1" xfId="0" applyNumberFormat="1" applyFont="1" applyFill="1" applyBorder="1" applyAlignment="1" applyProtection="1">
      <alignment horizontal="center" vertical="center"/>
      <protection/>
    </xf>
    <xf numFmtId="181" fontId="20" fillId="0" borderId="1" xfId="0" applyNumberFormat="1" applyFont="1" applyBorder="1" applyAlignment="1" applyProtection="1">
      <alignment vertical="center"/>
      <protection locked="0"/>
    </xf>
    <xf numFmtId="181" fontId="9" fillId="0" borderId="1" xfId="0" applyNumberFormat="1" applyFont="1" applyBorder="1" applyAlignment="1" applyProtection="1">
      <alignment horizontal="center" vertical="center"/>
      <protection locked="0"/>
    </xf>
    <xf numFmtId="181" fontId="9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181" fontId="20" fillId="0" borderId="1" xfId="0" applyNumberFormat="1" applyFont="1" applyBorder="1" applyAlignment="1" applyProtection="1">
      <alignment horizontal="center" vertical="center"/>
      <protection locked="0"/>
    </xf>
    <xf numFmtId="181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vertical="center"/>
      <protection locked="0"/>
    </xf>
    <xf numFmtId="181" fontId="21" fillId="0" borderId="1" xfId="0" applyNumberFormat="1" applyFont="1" applyBorder="1" applyAlignment="1" applyProtection="1">
      <alignment horizontal="center" vertical="center"/>
      <protection locked="0"/>
    </xf>
    <xf numFmtId="181" fontId="20" fillId="0" borderId="1" xfId="0" applyNumberFormat="1" applyFont="1" applyFill="1" applyBorder="1" applyAlignment="1" applyProtection="1">
      <alignment vertical="center"/>
      <protection locked="0"/>
    </xf>
    <xf numFmtId="0" fontId="22" fillId="0" borderId="1" xfId="0" applyNumberFormat="1" applyFont="1" applyBorder="1" applyAlignment="1" applyProtection="1">
      <alignment vertical="center"/>
      <protection locked="0"/>
    </xf>
    <xf numFmtId="181" fontId="23" fillId="0" borderId="1" xfId="0" applyNumberFormat="1" applyFont="1" applyBorder="1" applyAlignment="1" applyProtection="1">
      <alignment horizontal="center" vertical="center"/>
      <protection locked="0"/>
    </xf>
    <xf numFmtId="181" fontId="9" fillId="0" borderId="1" xfId="0" applyNumberFormat="1" applyFont="1" applyFill="1" applyBorder="1" applyAlignment="1" applyProtection="1">
      <alignment vertical="center"/>
      <protection locked="0"/>
    </xf>
    <xf numFmtId="181" fontId="9" fillId="0" borderId="1" xfId="0" applyNumberFormat="1" applyFont="1" applyFill="1" applyBorder="1" applyAlignment="1" applyProtection="1">
      <alignment horizontal="center" vertical="center"/>
      <protection/>
    </xf>
    <xf numFmtId="185" fontId="9" fillId="0" borderId="1" xfId="0" applyNumberFormat="1" applyFont="1" applyFill="1" applyBorder="1" applyAlignment="1" applyProtection="1">
      <alignment horizontal="center" vertical="center"/>
      <protection/>
    </xf>
    <xf numFmtId="185" fontId="9" fillId="0" borderId="1" xfId="0" applyNumberFormat="1" applyFont="1" applyBorder="1" applyAlignment="1" applyProtection="1">
      <alignment horizontal="center" vertical="center"/>
      <protection locked="0"/>
    </xf>
    <xf numFmtId="181" fontId="9" fillId="0" borderId="0" xfId="0" applyNumberFormat="1" applyFont="1" applyFill="1" applyAlignment="1" applyProtection="1">
      <alignment vertical="center"/>
      <protection locked="0"/>
    </xf>
    <xf numFmtId="181" fontId="9" fillId="0" borderId="0" xfId="0" applyNumberFormat="1" applyFont="1" applyFill="1" applyAlignment="1" applyProtection="1">
      <alignment horizontal="center" vertical="center"/>
      <protection locked="0"/>
    </xf>
    <xf numFmtId="181" fontId="9" fillId="0" borderId="0" xfId="0" applyNumberFormat="1" applyFont="1" applyFill="1" applyBorder="1" applyAlignment="1" applyProtection="1">
      <alignment horizontal="center" vertical="center"/>
      <protection locked="0"/>
    </xf>
    <xf numFmtId="181" fontId="21" fillId="3" borderId="1" xfId="0" applyNumberFormat="1" applyFont="1" applyFill="1" applyBorder="1" applyAlignment="1" applyProtection="1">
      <alignment horizontal="center" vertical="center"/>
      <protection locked="0"/>
    </xf>
    <xf numFmtId="181" fontId="20" fillId="0" borderId="0" xfId="0" applyNumberFormat="1" applyFont="1" applyFill="1" applyBorder="1" applyAlignment="1" applyProtection="1">
      <alignment horizontal="center" vertical="center"/>
      <protection locked="0"/>
    </xf>
    <xf numFmtId="185" fontId="9" fillId="0" borderId="1" xfId="0" applyNumberFormat="1" applyFont="1" applyFill="1" applyBorder="1" applyAlignment="1" applyProtection="1">
      <alignment horizontal="center" vertical="center"/>
      <protection locked="0"/>
    </xf>
    <xf numFmtId="185" fontId="9" fillId="0" borderId="0" xfId="0" applyNumberFormat="1" applyFont="1" applyFill="1" applyBorder="1" applyAlignment="1" applyProtection="1">
      <alignment horizontal="center" vertical="center"/>
      <protection locked="0"/>
    </xf>
    <xf numFmtId="185" fontId="9" fillId="3" borderId="1" xfId="0" applyNumberFormat="1" applyFont="1" applyFill="1" applyBorder="1" applyAlignment="1" applyProtection="1">
      <alignment horizontal="center" vertical="center"/>
      <protection locked="0"/>
    </xf>
    <xf numFmtId="181" fontId="9" fillId="4" borderId="1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Fill="1" applyAlignment="1" applyProtection="1">
      <alignment horizontal="center" vertical="center"/>
      <protection locked="0"/>
    </xf>
    <xf numFmtId="0" fontId="9" fillId="0" borderId="1" xfId="21" applyFont="1" applyFill="1" applyBorder="1" applyAlignment="1" applyProtection="1">
      <alignment horizontal="center" vertical="center"/>
      <protection locked="0"/>
    </xf>
    <xf numFmtId="182" fontId="0" fillId="0" borderId="1" xfId="0" applyNumberFormat="1" applyFont="1" applyBorder="1" applyAlignment="1" applyProtection="1">
      <alignment horizontal="center" vertical="center"/>
      <protection/>
    </xf>
    <xf numFmtId="0" fontId="9" fillId="0" borderId="1" xfId="18" applyFont="1" applyBorder="1" applyAlignment="1">
      <alignment horizontal="center" vertical="center"/>
      <protection/>
    </xf>
    <xf numFmtId="1" fontId="0" fillId="0" borderId="1" xfId="18" applyNumberFormat="1" applyFont="1" applyBorder="1" applyAlignment="1">
      <alignment horizontal="center" vertical="center"/>
      <protection/>
    </xf>
    <xf numFmtId="181" fontId="0" fillId="0" borderId="1" xfId="0" applyNumberFormat="1" applyBorder="1" applyAlignment="1" applyProtection="1">
      <alignment horizontal="left" vertical="center"/>
      <protection locked="0"/>
    </xf>
    <xf numFmtId="182" fontId="15" fillId="0" borderId="1" xfId="0" applyNumberFormat="1" applyFont="1" applyBorder="1" applyAlignment="1" applyProtection="1">
      <alignment horizontal="center" vertical="center"/>
      <protection/>
    </xf>
    <xf numFmtId="182" fontId="10" fillId="0" borderId="1" xfId="0" applyNumberFormat="1" applyFont="1" applyBorder="1" applyAlignment="1" applyProtection="1">
      <alignment horizontal="center" vertical="center"/>
      <protection/>
    </xf>
    <xf numFmtId="181" fontId="10" fillId="0" borderId="1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ill="1" applyAlignment="1" applyProtection="1">
      <alignment vertical="center"/>
      <protection locked="0"/>
    </xf>
    <xf numFmtId="181" fontId="0" fillId="0" borderId="0" xfId="0" applyNumberFormat="1" applyFill="1" applyAlignment="1" applyProtection="1">
      <alignment horizontal="center" vertical="center"/>
      <protection locked="0"/>
    </xf>
    <xf numFmtId="181" fontId="0" fillId="3" borderId="0" xfId="0" applyNumberFormat="1" applyFill="1" applyAlignment="1" applyProtection="1">
      <alignment vertical="center"/>
      <protection locked="0"/>
    </xf>
    <xf numFmtId="181" fontId="7" fillId="0" borderId="0" xfId="0" applyNumberFormat="1" applyFont="1" applyFill="1" applyAlignment="1" applyProtection="1">
      <alignment horizontal="center" vertical="center"/>
      <protection locked="0"/>
    </xf>
    <xf numFmtId="181" fontId="0" fillId="0" borderId="14" xfId="0" applyNumberFormat="1" applyFont="1" applyFill="1" applyBorder="1" applyAlignment="1" applyProtection="1">
      <alignment horizontal="center" vertical="center"/>
      <protection locked="0"/>
    </xf>
    <xf numFmtId="181" fontId="0" fillId="0" borderId="15" xfId="0" applyNumberFormat="1" applyFont="1" applyFill="1" applyBorder="1" applyAlignment="1" applyProtection="1">
      <alignment horizontal="center" vertical="center"/>
      <protection locked="0"/>
    </xf>
    <xf numFmtId="181" fontId="15" fillId="0" borderId="1" xfId="0" applyNumberFormat="1" applyFont="1" applyFill="1" applyBorder="1" applyAlignment="1" applyProtection="1">
      <alignment horizontal="center" vertical="center"/>
      <protection/>
    </xf>
    <xf numFmtId="181" fontId="0" fillId="4" borderId="1" xfId="0" applyNumberFormat="1" applyFont="1" applyFill="1" applyBorder="1" applyAlignment="1" applyProtection="1">
      <alignment horizontal="center" vertical="center"/>
      <protection locked="0"/>
    </xf>
    <xf numFmtId="184" fontId="17" fillId="0" borderId="1" xfId="20" applyNumberFormat="1" applyFont="1" applyFill="1" applyBorder="1" applyAlignment="1" applyProtection="1">
      <alignment horizontal="center" vertical="center"/>
      <protection locked="0"/>
    </xf>
    <xf numFmtId="181" fontId="7" fillId="3" borderId="0" xfId="0" applyNumberFormat="1" applyFont="1" applyFill="1" applyAlignment="1" applyProtection="1">
      <alignment vertical="center"/>
      <protection locked="0"/>
    </xf>
    <xf numFmtId="185" fontId="0" fillId="3" borderId="0" xfId="0" applyNumberFormat="1" applyFill="1" applyAlignment="1" applyProtection="1">
      <alignment vertical="center"/>
      <protection locked="0"/>
    </xf>
    <xf numFmtId="185" fontId="0" fillId="0" borderId="0" xfId="0" applyNumberFormat="1" applyFill="1" applyAlignment="1" applyProtection="1">
      <alignment vertical="center"/>
      <protection locked="0"/>
    </xf>
    <xf numFmtId="1" fontId="0" fillId="0" borderId="0" xfId="21" applyNumberFormat="1" applyFont="1" applyFill="1" applyBorder="1" applyAlignment="1" applyProtection="1">
      <alignment horizontal="center" vertical="center" wrapText="1"/>
      <protection/>
    </xf>
    <xf numFmtId="181" fontId="10" fillId="3" borderId="0" xfId="0" applyNumberFormat="1" applyFont="1" applyFill="1" applyAlignment="1" applyProtection="1">
      <alignment vertical="center"/>
      <protection locked="0"/>
    </xf>
    <xf numFmtId="181" fontId="16" fillId="3" borderId="0" xfId="0" applyNumberFormat="1" applyFont="1" applyFill="1" applyAlignment="1" applyProtection="1">
      <alignment vertical="center"/>
      <protection locked="0"/>
    </xf>
    <xf numFmtId="181" fontId="17" fillId="3" borderId="0" xfId="0" applyNumberFormat="1" applyFont="1" applyFill="1" applyAlignment="1" applyProtection="1">
      <alignment vertical="center"/>
      <protection locked="0"/>
    </xf>
    <xf numFmtId="181" fontId="0" fillId="0" borderId="1" xfId="0" applyNumberFormat="1" applyFill="1" applyBorder="1" applyAlignment="1" applyProtection="1">
      <alignment vertical="center"/>
      <protection locked="0"/>
    </xf>
    <xf numFmtId="181" fontId="21" fillId="0" borderId="1" xfId="0" applyNumberFormat="1" applyFont="1" applyFill="1" applyBorder="1" applyAlignment="1" applyProtection="1">
      <alignment horizontal="center" vertical="center"/>
      <protection locked="0"/>
    </xf>
    <xf numFmtId="181" fontId="9" fillId="0" borderId="1" xfId="0" applyNumberFormat="1" applyFont="1" applyBorder="1" applyAlignment="1" applyProtection="1">
      <alignment vertical="center"/>
      <protection locked="0"/>
    </xf>
    <xf numFmtId="182" fontId="0" fillId="0" borderId="1" xfId="0" applyNumberFormat="1" applyFont="1" applyFill="1" applyBorder="1" applyAlignment="1" applyProtection="1">
      <alignment horizontal="center" vertical="center"/>
      <protection locked="0"/>
    </xf>
    <xf numFmtId="181" fontId="20" fillId="0" borderId="1" xfId="0" applyNumberFormat="1" applyFont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vertical="center"/>
      <protection locked="0"/>
    </xf>
    <xf numFmtId="0" fontId="21" fillId="0" borderId="1" xfId="0" applyNumberFormat="1" applyFont="1" applyBorder="1" applyAlignment="1" applyProtection="1">
      <alignment vertical="center"/>
      <protection locked="0"/>
    </xf>
    <xf numFmtId="181" fontId="21" fillId="0" borderId="1" xfId="0" applyNumberFormat="1" applyFont="1" applyFill="1" applyBorder="1" applyAlignment="1" applyProtection="1">
      <alignment horizontal="center" vertical="center"/>
      <protection/>
    </xf>
    <xf numFmtId="185" fontId="21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1" xfId="0" applyNumberFormat="1" applyFont="1" applyBorder="1" applyAlignment="1" applyProtection="1">
      <alignment vertical="center"/>
      <protection locked="0"/>
    </xf>
    <xf numFmtId="181" fontId="23" fillId="0" borderId="1" xfId="0" applyNumberFormat="1" applyFont="1" applyFill="1" applyBorder="1" applyAlignment="1" applyProtection="1">
      <alignment horizontal="center" vertical="center"/>
      <protection locked="0"/>
    </xf>
    <xf numFmtId="181" fontId="22" fillId="0" borderId="1" xfId="0" applyNumberFormat="1" applyFont="1" applyFill="1" applyBorder="1" applyAlignment="1" applyProtection="1">
      <alignment horizontal="center" vertical="center"/>
      <protection/>
    </xf>
    <xf numFmtId="185" fontId="22" fillId="0" borderId="1" xfId="0" applyNumberFormat="1" applyFont="1" applyFill="1" applyBorder="1" applyAlignment="1" applyProtection="1">
      <alignment horizontal="center" vertical="center"/>
      <protection/>
    </xf>
    <xf numFmtId="181" fontId="0" fillId="3" borderId="0" xfId="0" applyNumberFormat="1" applyFont="1" applyFill="1" applyAlignment="1" applyProtection="1">
      <alignment vertical="center"/>
      <protection locked="0"/>
    </xf>
    <xf numFmtId="0" fontId="9" fillId="0" borderId="1" xfId="0" applyFont="1" applyBorder="1" applyAlignment="1">
      <alignment horizontal="center" vertical="center"/>
    </xf>
    <xf numFmtId="18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81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19" applyNumberFormat="1" applyFont="1" applyFill="1" applyBorder="1" applyAlignment="1" applyProtection="1">
      <alignment horizontal="left" vertical="center"/>
      <protection/>
    </xf>
    <xf numFmtId="0" fontId="5" fillId="0" borderId="0" xfId="19" applyNumberFormat="1" applyFont="1" applyFill="1" applyBorder="1" applyAlignment="1" applyProtection="1">
      <alignment vertical="center" wrapText="1"/>
      <protection/>
    </xf>
    <xf numFmtId="178" fontId="5" fillId="0" borderId="0" xfId="19" applyNumberFormat="1" applyFont="1" applyFill="1" applyBorder="1" applyAlignment="1" applyProtection="1">
      <alignment horizontal="right" vertical="center"/>
      <protection/>
    </xf>
    <xf numFmtId="0" fontId="5" fillId="0" borderId="0" xfId="19" applyFont="1" applyBorder="1">
      <alignment/>
      <protection/>
    </xf>
    <xf numFmtId="49" fontId="5" fillId="0" borderId="0" xfId="19" applyNumberFormat="1" applyFont="1" applyFill="1" applyBorder="1" applyAlignment="1" applyProtection="1">
      <alignment vertical="center"/>
      <protection/>
    </xf>
    <xf numFmtId="49" fontId="20" fillId="0" borderId="1" xfId="0" applyNumberFormat="1" applyFont="1" applyFill="1" applyBorder="1" applyAlignment="1" applyProtection="1">
      <alignment horizontal="center" vertical="center"/>
      <protection/>
    </xf>
    <xf numFmtId="0" fontId="26" fillId="0" borderId="1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180" fontId="20" fillId="0" borderId="1" xfId="0" applyNumberFormat="1" applyFont="1" applyFill="1" applyBorder="1" applyAlignment="1" applyProtection="1">
      <alignment horizontal="center" vertical="center"/>
      <protection/>
    </xf>
    <xf numFmtId="49" fontId="20" fillId="0" borderId="1" xfId="0" applyNumberFormat="1" applyFont="1" applyFill="1" applyBorder="1" applyAlignment="1" applyProtection="1">
      <alignment horizontal="left" vertical="center"/>
      <protection/>
    </xf>
    <xf numFmtId="181" fontId="0" fillId="3" borderId="0" xfId="0" applyNumberFormat="1" applyFill="1" applyAlignment="1" applyProtection="1">
      <alignment horizontal="center" vertical="center"/>
      <protection locked="0"/>
    </xf>
    <xf numFmtId="181" fontId="0" fillId="0" borderId="0" xfId="0" applyNumberFormat="1" applyFill="1" applyAlignment="1" applyProtection="1">
      <alignment horizontal="center" vertical="center"/>
      <protection locked="0"/>
    </xf>
    <xf numFmtId="181" fontId="10" fillId="0" borderId="16" xfId="0" applyNumberFormat="1" applyFont="1" applyFill="1" applyBorder="1" applyAlignment="1" applyProtection="1">
      <alignment horizontal="center" vertical="center"/>
      <protection locked="0"/>
    </xf>
    <xf numFmtId="181" fontId="10" fillId="0" borderId="17" xfId="0" applyNumberFormat="1" applyFont="1" applyFill="1" applyBorder="1" applyAlignment="1" applyProtection="1">
      <alignment horizontal="center" vertical="center"/>
      <protection locked="0"/>
    </xf>
    <xf numFmtId="18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10" fillId="0" borderId="13" xfId="0" applyNumberFormat="1" applyFont="1" applyFill="1" applyBorder="1" applyAlignment="1" applyProtection="1">
      <alignment horizontal="center" vertical="center"/>
      <protection locked="0"/>
    </xf>
    <xf numFmtId="181" fontId="10" fillId="0" borderId="18" xfId="0" applyNumberFormat="1" applyFont="1" applyFill="1" applyBorder="1" applyAlignment="1" applyProtection="1">
      <alignment horizontal="center" vertical="center"/>
      <protection locked="0"/>
    </xf>
    <xf numFmtId="181" fontId="10" fillId="0" borderId="5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Alignment="1" applyProtection="1">
      <alignment horizontal="center" vertical="center"/>
      <protection locked="0"/>
    </xf>
    <xf numFmtId="186" fontId="0" fillId="0" borderId="19" xfId="0" applyNumberFormat="1" applyFill="1" applyBorder="1" applyAlignment="1" applyProtection="1">
      <alignment horizontal="center" vertical="center"/>
      <protection locked="0"/>
    </xf>
    <xf numFmtId="181" fontId="11" fillId="0" borderId="13" xfId="0" applyNumberFormat="1" applyFont="1" applyFill="1" applyBorder="1" applyAlignment="1" applyProtection="1">
      <alignment horizontal="center" vertical="center"/>
      <protection locked="0"/>
    </xf>
    <xf numFmtId="181" fontId="11" fillId="0" borderId="18" xfId="0" applyNumberFormat="1" applyFont="1" applyFill="1" applyBorder="1" applyAlignment="1" applyProtection="1">
      <alignment horizontal="center" vertical="center"/>
      <protection locked="0"/>
    </xf>
    <xf numFmtId="181" fontId="11" fillId="0" borderId="5" xfId="0" applyNumberFormat="1" applyFont="1" applyFill="1" applyBorder="1" applyAlignment="1" applyProtection="1">
      <alignment horizontal="center" vertical="center"/>
      <protection locked="0"/>
    </xf>
    <xf numFmtId="181" fontId="11" fillId="0" borderId="1" xfId="0" applyNumberFormat="1" applyFont="1" applyFill="1" applyBorder="1" applyAlignment="1" applyProtection="1">
      <alignment horizontal="center" vertical="center"/>
      <protection locked="0"/>
    </xf>
    <xf numFmtId="181" fontId="10" fillId="0" borderId="16" xfId="0" applyNumberFormat="1" applyFont="1" applyBorder="1" applyAlignment="1" applyProtection="1">
      <alignment horizontal="center" vertical="center"/>
      <protection locked="0"/>
    </xf>
    <xf numFmtId="181" fontId="10" fillId="0" borderId="17" xfId="0" applyNumberFormat="1" applyFont="1" applyBorder="1" applyAlignment="1" applyProtection="1">
      <alignment horizontal="center" vertical="center"/>
      <protection locked="0"/>
    </xf>
    <xf numFmtId="181" fontId="10" fillId="0" borderId="10" xfId="0" applyNumberFormat="1" applyFont="1" applyBorder="1" applyAlignment="1" applyProtection="1">
      <alignment horizontal="center" vertical="center"/>
      <protection locked="0"/>
    </xf>
    <xf numFmtId="181" fontId="10" fillId="0" borderId="16" xfId="0" applyNumberFormat="1" applyFont="1" applyBorder="1" applyAlignment="1" applyProtection="1">
      <alignment horizontal="center" vertical="center" wrapText="1"/>
      <protection locked="0"/>
    </xf>
    <xf numFmtId="181" fontId="10" fillId="0" borderId="13" xfId="0" applyNumberFormat="1" applyFont="1" applyBorder="1" applyAlignment="1" applyProtection="1">
      <alignment horizontal="center" vertical="center"/>
      <protection locked="0"/>
    </xf>
    <xf numFmtId="181" fontId="10" fillId="0" borderId="18" xfId="0" applyNumberFormat="1" applyFont="1" applyBorder="1" applyAlignment="1" applyProtection="1">
      <alignment horizontal="center" vertical="center"/>
      <protection locked="0"/>
    </xf>
    <xf numFmtId="181" fontId="10" fillId="0" borderId="5" xfId="0" applyNumberFormat="1" applyFont="1" applyBorder="1" applyAlignment="1" applyProtection="1">
      <alignment horizontal="center" vertical="center"/>
      <protection locked="0"/>
    </xf>
    <xf numFmtId="181" fontId="10" fillId="0" borderId="13" xfId="0" applyNumberFormat="1" applyFont="1" applyFill="1" applyBorder="1" applyAlignment="1" applyProtection="1">
      <alignment horizontal="center" vertical="center"/>
      <protection locked="0"/>
    </xf>
    <xf numFmtId="18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8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8" fillId="0" borderId="0" xfId="0" applyNumberFormat="1" applyFont="1" applyAlignment="1" applyProtection="1">
      <alignment horizontal="center" vertical="center"/>
      <protection locked="0"/>
    </xf>
    <xf numFmtId="181" fontId="8" fillId="0" borderId="0" xfId="0" applyNumberFormat="1" applyFont="1" applyFill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81" fontId="11" fillId="0" borderId="13" xfId="0" applyNumberFormat="1" applyFont="1" applyBorder="1" applyAlignment="1" applyProtection="1">
      <alignment horizontal="center" vertical="center"/>
      <protection locked="0"/>
    </xf>
    <xf numFmtId="181" fontId="11" fillId="0" borderId="18" xfId="0" applyNumberFormat="1" applyFont="1" applyBorder="1" applyAlignment="1" applyProtection="1">
      <alignment horizontal="center" vertical="center"/>
      <protection locked="0"/>
    </xf>
    <xf numFmtId="181" fontId="11" fillId="0" borderId="5" xfId="0" applyNumberFormat="1" applyFont="1" applyBorder="1" applyAlignment="1" applyProtection="1">
      <alignment horizontal="center" vertical="center"/>
      <protection locked="0"/>
    </xf>
    <xf numFmtId="181" fontId="11" fillId="0" borderId="1" xfId="0" applyNumberFormat="1" applyFont="1" applyBorder="1" applyAlignment="1" applyProtection="1">
      <alignment horizontal="center" vertical="center"/>
      <protection locked="0"/>
    </xf>
    <xf numFmtId="181" fontId="11" fillId="0" borderId="1" xfId="0" applyNumberFormat="1" applyFont="1" applyFill="1" applyBorder="1" applyAlignment="1" applyProtection="1">
      <alignment horizontal="center" vertical="center"/>
      <protection locked="0"/>
    </xf>
    <xf numFmtId="181" fontId="10" fillId="0" borderId="20" xfId="0" applyNumberFormat="1" applyFont="1" applyFill="1" applyBorder="1" applyAlignment="1" applyProtection="1">
      <alignment horizontal="center" vertical="center"/>
      <protection locked="0"/>
    </xf>
    <xf numFmtId="181" fontId="10" fillId="0" borderId="21" xfId="0" applyNumberFormat="1" applyFont="1" applyFill="1" applyBorder="1" applyAlignment="1" applyProtection="1">
      <alignment horizontal="center" vertical="center"/>
      <protection locked="0"/>
    </xf>
    <xf numFmtId="181" fontId="10" fillId="0" borderId="22" xfId="0" applyNumberFormat="1" applyFont="1" applyFill="1" applyBorder="1" applyAlignment="1" applyProtection="1">
      <alignment horizontal="center" vertical="center"/>
      <protection locked="0"/>
    </xf>
    <xf numFmtId="181" fontId="10" fillId="0" borderId="23" xfId="0" applyNumberFormat="1" applyFont="1" applyFill="1" applyBorder="1" applyAlignment="1" applyProtection="1">
      <alignment horizontal="center" vertical="center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181" fontId="0" fillId="0" borderId="19" xfId="0" applyNumberFormat="1" applyFont="1" applyFill="1" applyBorder="1" applyAlignment="1" applyProtection="1">
      <alignment horizontal="center" vertical="center"/>
      <protection locked="0"/>
    </xf>
    <xf numFmtId="181" fontId="10" fillId="0" borderId="17" xfId="0" applyNumberFormat="1" applyFont="1" applyBorder="1" applyAlignment="1" applyProtection="1">
      <alignment horizontal="center" vertical="center" wrapText="1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4" fontId="0" fillId="0" borderId="19" xfId="0" applyNumberFormat="1" applyFont="1" applyBorder="1" applyAlignment="1" applyProtection="1">
      <alignment horizontal="center" vertical="center"/>
      <protection locked="0"/>
    </xf>
    <xf numFmtId="181" fontId="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9" fontId="8" fillId="0" borderId="0" xfId="19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49" fontId="20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no dec" xfId="15"/>
    <cellStyle name="Normal_APR" xfId="16"/>
    <cellStyle name="Percent" xfId="17"/>
    <cellStyle name="常规_2002年全省财政基金预算收入计划表" xfId="18"/>
    <cellStyle name="常规_2015年支出预算明细汇总分析表" xfId="19"/>
    <cellStyle name="常规_城关" xfId="20"/>
    <cellStyle name="常规_预计与预算2" xfId="21"/>
    <cellStyle name="Hyperlink" xfId="22"/>
    <cellStyle name="Currency" xfId="23"/>
    <cellStyle name="Currency [0]" xfId="24"/>
    <cellStyle name="普通_97-917" xfId="25"/>
    <cellStyle name="千分位[0]_laroux" xfId="26"/>
    <cellStyle name="千分位_97-917" xfId="27"/>
    <cellStyle name="千位[0]_1" xfId="28"/>
    <cellStyle name="千位_1" xfId="29"/>
    <cellStyle name="Comma" xfId="30"/>
    <cellStyle name="Comma [0]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03&#25253;&#34920;&#39044;&#31639;&#22806;&#22235;&#24352;\&#24066;&#21457;&#222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20844;&#20849;&#36130;&#25919;&#39044;&#31639;&#20998;&#31185;&#30446;&#25903;&#20986;&#26126;&#3245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8472;&#26228;\2015&#39044;&#31639;&#24179;&#34913;&#34920;&#65281;(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A10"/>
      <sheetName val="A11"/>
      <sheetName val="A12"/>
      <sheetName val="A13"/>
      <sheetName val="#REF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3年公共财政"/>
      <sheetName val="2013年基金调整"/>
      <sheetName val="2015年公共财政 "/>
      <sheetName val="2015年基金 "/>
    </sheetNames>
    <sheetDataSet>
      <sheetData sheetId="4">
        <row r="13">
          <cell r="B13">
            <v>0</v>
          </cell>
          <cell r="C13">
            <v>5160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8</v>
      </c>
    </row>
    <row r="4" spans="1:2" ht="14.25">
      <c r="A4" t="s">
        <v>3</v>
      </c>
      <c r="B4">
        <v>1</v>
      </c>
    </row>
    <row r="5" spans="1:2" ht="14.25">
      <c r="A5" t="s">
        <v>4</v>
      </c>
      <c r="B5">
        <v>114</v>
      </c>
    </row>
    <row r="6" spans="1:2" ht="14.25">
      <c r="A6" t="s">
        <v>5</v>
      </c>
      <c r="B6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21"/>
  <sheetViews>
    <sheetView showZeros="0" zoomScale="70" zoomScaleNormal="7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00390625" defaultRowHeight="14.25"/>
  <cols>
    <col min="1" max="1" width="42.375" style="142" customWidth="1"/>
    <col min="2" max="2" width="13.50390625" style="142" customWidth="1"/>
    <col min="3" max="3" width="15.50390625" style="142" customWidth="1"/>
    <col min="4" max="4" width="13.875" style="63" customWidth="1"/>
    <col min="5" max="6" width="11.75390625" style="142" customWidth="1"/>
    <col min="7" max="7" width="11.125" style="142" customWidth="1"/>
    <col min="8" max="8" width="12.125" style="142" customWidth="1"/>
    <col min="9" max="9" width="42.50390625" style="142" customWidth="1"/>
    <col min="10" max="10" width="10.875" style="143" customWidth="1"/>
    <col min="11" max="11" width="11.375" style="143" customWidth="1"/>
    <col min="12" max="12" width="13.50390625" style="143" customWidth="1"/>
    <col min="13" max="13" width="10.125" style="143" customWidth="1"/>
    <col min="14" max="14" width="11.875" style="143" customWidth="1"/>
    <col min="15" max="15" width="10.50390625" style="143" customWidth="1"/>
    <col min="16" max="16" width="11.625" style="143" customWidth="1"/>
    <col min="17" max="17" width="10.125" style="144" hidden="1" customWidth="1"/>
    <col min="18" max="19" width="9.00390625" style="142" hidden="1" customWidth="1"/>
    <col min="20" max="241" width="9.00390625" style="142" customWidth="1"/>
  </cols>
  <sheetData>
    <row r="1" ht="23.25" customHeight="1">
      <c r="A1" s="58" t="s">
        <v>6</v>
      </c>
    </row>
    <row r="2" spans="1:17" s="58" customFormat="1" ht="30" customHeight="1">
      <c r="A2" s="194" t="s">
        <v>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51"/>
    </row>
    <row r="3" spans="1:15" ht="20.25" customHeight="1">
      <c r="A3" s="145" t="s">
        <v>8</v>
      </c>
      <c r="B3" s="143"/>
      <c r="D3" s="195"/>
      <c r="E3" s="195"/>
      <c r="F3" s="195"/>
      <c r="G3" s="195"/>
      <c r="H3" s="195"/>
      <c r="I3" s="195"/>
      <c r="O3" s="143" t="s">
        <v>9</v>
      </c>
    </row>
    <row r="4" spans="1:16" ht="19.5" customHeight="1">
      <c r="A4" s="196" t="s">
        <v>10</v>
      </c>
      <c r="B4" s="197"/>
      <c r="C4" s="197"/>
      <c r="D4" s="197"/>
      <c r="E4" s="197"/>
      <c r="F4" s="197"/>
      <c r="G4" s="197"/>
      <c r="H4" s="198"/>
      <c r="I4" s="199" t="s">
        <v>11</v>
      </c>
      <c r="J4" s="199"/>
      <c r="K4" s="199"/>
      <c r="L4" s="199"/>
      <c r="M4" s="199"/>
      <c r="N4" s="199"/>
      <c r="O4" s="199"/>
      <c r="P4" s="199"/>
    </row>
    <row r="5" spans="1:16" ht="23.25" customHeight="1">
      <c r="A5" s="188" t="s">
        <v>12</v>
      </c>
      <c r="B5" s="174" t="s">
        <v>13</v>
      </c>
      <c r="C5" s="174" t="s">
        <v>14</v>
      </c>
      <c r="D5" s="191" t="s">
        <v>15</v>
      </c>
      <c r="E5" s="192"/>
      <c r="F5" s="192"/>
      <c r="G5" s="192"/>
      <c r="H5" s="193"/>
      <c r="I5" s="188" t="s">
        <v>12</v>
      </c>
      <c r="J5" s="174" t="s">
        <v>13</v>
      </c>
      <c r="K5" s="174" t="s">
        <v>14</v>
      </c>
      <c r="L5" s="191" t="s">
        <v>15</v>
      </c>
      <c r="M5" s="192"/>
      <c r="N5" s="192"/>
      <c r="O5" s="192"/>
      <c r="P5" s="193"/>
    </row>
    <row r="6" spans="1:16" ht="23.25" customHeight="1">
      <c r="A6" s="189"/>
      <c r="B6" s="189"/>
      <c r="C6" s="189" t="s">
        <v>16</v>
      </c>
      <c r="D6" s="174" t="s">
        <v>17</v>
      </c>
      <c r="E6" s="191" t="s">
        <v>18</v>
      </c>
      <c r="F6" s="193"/>
      <c r="G6" s="191" t="s">
        <v>19</v>
      </c>
      <c r="H6" s="193"/>
      <c r="I6" s="189"/>
      <c r="J6" s="189"/>
      <c r="K6" s="189" t="s">
        <v>16</v>
      </c>
      <c r="L6" s="174" t="s">
        <v>17</v>
      </c>
      <c r="M6" s="191" t="s">
        <v>18</v>
      </c>
      <c r="N6" s="193"/>
      <c r="O6" s="191" t="s">
        <v>19</v>
      </c>
      <c r="P6" s="193"/>
    </row>
    <row r="7" spans="1:19" ht="23.25" customHeight="1">
      <c r="A7" s="175"/>
      <c r="B7" s="175"/>
      <c r="C7" s="175"/>
      <c r="D7" s="190"/>
      <c r="E7" s="64" t="s">
        <v>20</v>
      </c>
      <c r="F7" s="64" t="s">
        <v>21</v>
      </c>
      <c r="G7" s="64" t="s">
        <v>20</v>
      </c>
      <c r="H7" s="64" t="s">
        <v>21</v>
      </c>
      <c r="I7" s="175"/>
      <c r="J7" s="175"/>
      <c r="K7" s="175"/>
      <c r="L7" s="190"/>
      <c r="M7" s="64" t="s">
        <v>20</v>
      </c>
      <c r="N7" s="64" t="s">
        <v>21</v>
      </c>
      <c r="O7" s="64" t="s">
        <v>20</v>
      </c>
      <c r="P7" s="64" t="s">
        <v>21</v>
      </c>
      <c r="Q7" s="186" t="s">
        <v>22</v>
      </c>
      <c r="R7" s="187"/>
      <c r="S7" s="187"/>
    </row>
    <row r="8" spans="1:19" ht="32.25" customHeight="1">
      <c r="A8" s="67" t="s">
        <v>23</v>
      </c>
      <c r="B8" s="66">
        <f>SUM(B9:B23)</f>
        <v>29840</v>
      </c>
      <c r="C8" s="66">
        <f>SUM(C9:C23)</f>
        <v>27119</v>
      </c>
      <c r="D8" s="66">
        <f>SUM(D9:D23)</f>
        <v>27734</v>
      </c>
      <c r="E8" s="66">
        <f aca="true" t="shared" si="0" ref="E8:E39">D8-B8</f>
        <v>-2106</v>
      </c>
      <c r="F8" s="70">
        <f aca="true" t="shared" si="1" ref="F8:F22">ROUND(E8/B8*100,2)</f>
        <v>-7.06</v>
      </c>
      <c r="G8" s="66">
        <f aca="true" t="shared" si="2" ref="G8:G39">D8-C8</f>
        <v>615</v>
      </c>
      <c r="H8" s="70">
        <f aca="true" t="shared" si="3" ref="H8:H22">ROUND(G8/C8*100,2)</f>
        <v>2.27</v>
      </c>
      <c r="I8" s="67" t="s">
        <v>24</v>
      </c>
      <c r="J8" s="66">
        <v>9874</v>
      </c>
      <c r="K8" s="66">
        <v>8814</v>
      </c>
      <c r="L8" s="66">
        <f>12227-108-1500-1000+18+108</f>
        <v>9745</v>
      </c>
      <c r="M8" s="66">
        <f aca="true" t="shared" si="4" ref="M8:M34">L8-J8</f>
        <v>-129</v>
      </c>
      <c r="N8" s="70">
        <f>ROUND(M8/J8*100,2)</f>
        <v>-1.31</v>
      </c>
      <c r="O8" s="66">
        <f>L8-K8</f>
        <v>931</v>
      </c>
      <c r="P8" s="70">
        <f>ROUND(O8/K8*100,2)</f>
        <v>10.56</v>
      </c>
      <c r="Q8" s="152">
        <f>ROUND(L8/L$31*100,2)</f>
        <v>12.72</v>
      </c>
      <c r="R8" s="153">
        <f>ROUND(K8/K$31*100,2)</f>
        <v>12.77</v>
      </c>
      <c r="S8" s="153">
        <f>Q8-R8</f>
        <v>-0.049999999999998934</v>
      </c>
    </row>
    <row r="9" spans="1:19" ht="32.25" customHeight="1">
      <c r="A9" s="67" t="s">
        <v>25</v>
      </c>
      <c r="B9" s="68">
        <v>5300</v>
      </c>
      <c r="C9" s="146">
        <v>4571</v>
      </c>
      <c r="D9" s="69">
        <f>4440-60</f>
        <v>4380</v>
      </c>
      <c r="E9" s="66">
        <f t="shared" si="0"/>
        <v>-920</v>
      </c>
      <c r="F9" s="70">
        <f t="shared" si="1"/>
        <v>-17.36</v>
      </c>
      <c r="G9" s="66">
        <f t="shared" si="2"/>
        <v>-191</v>
      </c>
      <c r="H9" s="70">
        <f t="shared" si="3"/>
        <v>-4.18</v>
      </c>
      <c r="I9" s="67" t="s">
        <v>26</v>
      </c>
      <c r="J9" s="68"/>
      <c r="K9" s="66"/>
      <c r="L9" s="66"/>
      <c r="M9" s="66">
        <f t="shared" si="4"/>
        <v>0</v>
      </c>
      <c r="N9" s="70" t="e">
        <f>ROUND(M9/J9*100,2)</f>
        <v>#DIV/0!</v>
      </c>
      <c r="O9" s="66">
        <f>L9-K9</f>
        <v>0</v>
      </c>
      <c r="P9" s="70" t="e">
        <f>ROUND(O9/K9*100,2)</f>
        <v>#DIV/0!</v>
      </c>
      <c r="Q9" s="152">
        <f aca="true" t="shared" si="5" ref="Q9:Q31">ROUND(L9/L$31*100,2)</f>
        <v>0</v>
      </c>
      <c r="R9" s="153">
        <f aca="true" t="shared" si="6" ref="R9:R31">ROUND(K9/K$31*100,2)</f>
        <v>0</v>
      </c>
      <c r="S9" s="153">
        <f aca="true" t="shared" si="7" ref="S9:S28">Q9-R9</f>
        <v>0</v>
      </c>
    </row>
    <row r="10" spans="1:19" ht="32.25" customHeight="1">
      <c r="A10" s="67" t="s">
        <v>27</v>
      </c>
      <c r="B10" s="68">
        <v>9200</v>
      </c>
      <c r="C10" s="68">
        <v>8150</v>
      </c>
      <c r="D10" s="71">
        <f>8187+60</f>
        <v>8247</v>
      </c>
      <c r="E10" s="66">
        <f t="shared" si="0"/>
        <v>-953</v>
      </c>
      <c r="F10" s="70">
        <f t="shared" si="1"/>
        <v>-10.36</v>
      </c>
      <c r="G10" s="66">
        <f t="shared" si="2"/>
        <v>97</v>
      </c>
      <c r="H10" s="70">
        <f t="shared" si="3"/>
        <v>1.19</v>
      </c>
      <c r="I10" s="67" t="s">
        <v>28</v>
      </c>
      <c r="J10" s="68">
        <v>4704</v>
      </c>
      <c r="K10" s="66">
        <v>6697</v>
      </c>
      <c r="L10" s="66">
        <f>5622+1500</f>
        <v>7122</v>
      </c>
      <c r="M10" s="66">
        <f t="shared" si="4"/>
        <v>2418</v>
      </c>
      <c r="N10" s="70">
        <f aca="true" t="shared" si="8" ref="N10:N28">ROUND(M10/J10*100,2)</f>
        <v>51.4</v>
      </c>
      <c r="O10" s="66">
        <f aca="true" t="shared" si="9" ref="O10:O28">L10-K10</f>
        <v>425</v>
      </c>
      <c r="P10" s="70">
        <f aca="true" t="shared" si="10" ref="P10:P28">ROUND(O10/K10*100,2)</f>
        <v>6.35</v>
      </c>
      <c r="Q10" s="152">
        <f t="shared" si="5"/>
        <v>9.3</v>
      </c>
      <c r="R10" s="153">
        <f t="shared" si="6"/>
        <v>9.71</v>
      </c>
      <c r="S10" s="153">
        <f t="shared" si="7"/>
        <v>-0.41000000000000014</v>
      </c>
    </row>
    <row r="11" spans="1:19" ht="32.25" customHeight="1">
      <c r="A11" s="67" t="s">
        <v>29</v>
      </c>
      <c r="B11" s="68">
        <v>4050</v>
      </c>
      <c r="C11" s="68">
        <v>3958</v>
      </c>
      <c r="D11" s="71">
        <v>3369</v>
      </c>
      <c r="E11" s="66">
        <f t="shared" si="0"/>
        <v>-681</v>
      </c>
      <c r="F11" s="70">
        <f t="shared" si="1"/>
        <v>-16.81</v>
      </c>
      <c r="G11" s="66">
        <f t="shared" si="2"/>
        <v>-589</v>
      </c>
      <c r="H11" s="70">
        <f t="shared" si="3"/>
        <v>-14.88</v>
      </c>
      <c r="I11" s="67" t="s">
        <v>30</v>
      </c>
      <c r="J11" s="68">
        <v>13164</v>
      </c>
      <c r="K11" s="66">
        <v>18773</v>
      </c>
      <c r="L11" s="66">
        <f>16854+1644+500+500+1000+482</f>
        <v>20980</v>
      </c>
      <c r="M11" s="66">
        <f t="shared" si="4"/>
        <v>7816</v>
      </c>
      <c r="N11" s="70">
        <f t="shared" si="8"/>
        <v>59.37</v>
      </c>
      <c r="O11" s="66">
        <f t="shared" si="9"/>
        <v>2207</v>
      </c>
      <c r="P11" s="70">
        <f t="shared" si="10"/>
        <v>11.76</v>
      </c>
      <c r="Q11" s="152">
        <f t="shared" si="5"/>
        <v>27.39</v>
      </c>
      <c r="R11" s="153">
        <f t="shared" si="6"/>
        <v>27.21</v>
      </c>
      <c r="S11" s="153">
        <f t="shared" si="7"/>
        <v>0.17999999999999972</v>
      </c>
    </row>
    <row r="12" spans="1:19" ht="32.25" customHeight="1">
      <c r="A12" s="67" t="s">
        <v>31</v>
      </c>
      <c r="B12" s="68">
        <v>1340</v>
      </c>
      <c r="C12" s="68">
        <v>1104</v>
      </c>
      <c r="D12" s="72">
        <v>1181</v>
      </c>
      <c r="E12" s="66">
        <f t="shared" si="0"/>
        <v>-159</v>
      </c>
      <c r="F12" s="70">
        <f t="shared" si="1"/>
        <v>-11.87</v>
      </c>
      <c r="G12" s="66">
        <f t="shared" si="2"/>
        <v>77</v>
      </c>
      <c r="H12" s="70">
        <f t="shared" si="3"/>
        <v>6.97</v>
      </c>
      <c r="I12" s="67" t="s">
        <v>32</v>
      </c>
      <c r="J12" s="68">
        <v>714</v>
      </c>
      <c r="K12" s="66">
        <v>1235</v>
      </c>
      <c r="L12" s="66">
        <f>933+200+200</f>
        <v>1333</v>
      </c>
      <c r="M12" s="66">
        <f t="shared" si="4"/>
        <v>619</v>
      </c>
      <c r="N12" s="70">
        <f t="shared" si="8"/>
        <v>86.69</v>
      </c>
      <c r="O12" s="66">
        <f t="shared" si="9"/>
        <v>98</v>
      </c>
      <c r="P12" s="70">
        <f t="shared" si="10"/>
        <v>7.94</v>
      </c>
      <c r="Q12" s="152">
        <f t="shared" si="5"/>
        <v>1.74</v>
      </c>
      <c r="R12" s="153">
        <f t="shared" si="6"/>
        <v>1.79</v>
      </c>
      <c r="S12" s="153">
        <f t="shared" si="7"/>
        <v>-0.050000000000000044</v>
      </c>
    </row>
    <row r="13" spans="1:19" ht="32.25" customHeight="1">
      <c r="A13" s="67" t="s">
        <v>33</v>
      </c>
      <c r="B13" s="68">
        <v>1700</v>
      </c>
      <c r="C13" s="68">
        <v>1553</v>
      </c>
      <c r="D13" s="72">
        <v>1746</v>
      </c>
      <c r="E13" s="66">
        <f t="shared" si="0"/>
        <v>46</v>
      </c>
      <c r="F13" s="70">
        <f t="shared" si="1"/>
        <v>2.71</v>
      </c>
      <c r="G13" s="66">
        <f t="shared" si="2"/>
        <v>193</v>
      </c>
      <c r="H13" s="70">
        <f t="shared" si="3"/>
        <v>12.43</v>
      </c>
      <c r="I13" s="67" t="s">
        <v>34</v>
      </c>
      <c r="J13" s="68">
        <v>468</v>
      </c>
      <c r="K13" s="66">
        <v>857</v>
      </c>
      <c r="L13" s="66">
        <f>2885-2100+150</f>
        <v>935</v>
      </c>
      <c r="M13" s="66">
        <f t="shared" si="4"/>
        <v>467</v>
      </c>
      <c r="N13" s="70">
        <f t="shared" si="8"/>
        <v>99.79</v>
      </c>
      <c r="O13" s="66">
        <f t="shared" si="9"/>
        <v>78</v>
      </c>
      <c r="P13" s="70">
        <f t="shared" si="10"/>
        <v>9.1</v>
      </c>
      <c r="Q13" s="152">
        <f t="shared" si="5"/>
        <v>1.22</v>
      </c>
      <c r="R13" s="153">
        <f t="shared" si="6"/>
        <v>1.24</v>
      </c>
      <c r="S13" s="153">
        <f t="shared" si="7"/>
        <v>-0.020000000000000018</v>
      </c>
    </row>
    <row r="14" spans="1:19" ht="32.25" customHeight="1">
      <c r="A14" s="67" t="s">
        <v>35</v>
      </c>
      <c r="B14" s="68">
        <v>920</v>
      </c>
      <c r="C14" s="68">
        <v>839</v>
      </c>
      <c r="D14" s="72">
        <v>755</v>
      </c>
      <c r="E14" s="66">
        <f t="shared" si="0"/>
        <v>-165</v>
      </c>
      <c r="F14" s="70">
        <f t="shared" si="1"/>
        <v>-17.93</v>
      </c>
      <c r="G14" s="66">
        <f t="shared" si="2"/>
        <v>-84</v>
      </c>
      <c r="H14" s="70">
        <f t="shared" si="3"/>
        <v>-10.01</v>
      </c>
      <c r="I14" s="67" t="s">
        <v>36</v>
      </c>
      <c r="J14" s="68">
        <v>7203</v>
      </c>
      <c r="K14" s="66">
        <v>8342</v>
      </c>
      <c r="L14" s="66">
        <f>8612+500</f>
        <v>9112</v>
      </c>
      <c r="M14" s="66">
        <f t="shared" si="4"/>
        <v>1909</v>
      </c>
      <c r="N14" s="70">
        <f t="shared" si="8"/>
        <v>26.5</v>
      </c>
      <c r="O14" s="66">
        <f t="shared" si="9"/>
        <v>770</v>
      </c>
      <c r="P14" s="70">
        <f t="shared" si="10"/>
        <v>9.23</v>
      </c>
      <c r="Q14" s="152">
        <f t="shared" si="5"/>
        <v>11.89</v>
      </c>
      <c r="R14" s="153">
        <f t="shared" si="6"/>
        <v>12.09</v>
      </c>
      <c r="S14" s="153">
        <f t="shared" si="7"/>
        <v>-0.1999999999999993</v>
      </c>
    </row>
    <row r="15" spans="1:19" ht="32.25" customHeight="1">
      <c r="A15" s="67" t="s">
        <v>37</v>
      </c>
      <c r="B15" s="68">
        <v>320</v>
      </c>
      <c r="C15" s="68">
        <v>293</v>
      </c>
      <c r="D15" s="72">
        <v>351</v>
      </c>
      <c r="E15" s="66">
        <f t="shared" si="0"/>
        <v>31</v>
      </c>
      <c r="F15" s="70">
        <f t="shared" si="1"/>
        <v>9.69</v>
      </c>
      <c r="G15" s="66">
        <f t="shared" si="2"/>
        <v>58</v>
      </c>
      <c r="H15" s="70">
        <f t="shared" si="3"/>
        <v>19.8</v>
      </c>
      <c r="I15" s="67" t="s">
        <v>38</v>
      </c>
      <c r="J15" s="68">
        <v>5835</v>
      </c>
      <c r="K15" s="66">
        <v>6784</v>
      </c>
      <c r="L15" s="66">
        <f>7354+25</f>
        <v>7379</v>
      </c>
      <c r="M15" s="66">
        <f t="shared" si="4"/>
        <v>1544</v>
      </c>
      <c r="N15" s="70">
        <f t="shared" si="8"/>
        <v>26.46</v>
      </c>
      <c r="O15" s="66">
        <f t="shared" si="9"/>
        <v>595</v>
      </c>
      <c r="P15" s="70">
        <f t="shared" si="10"/>
        <v>8.77</v>
      </c>
      <c r="Q15" s="152">
        <f t="shared" si="5"/>
        <v>9.63</v>
      </c>
      <c r="R15" s="153">
        <f t="shared" si="6"/>
        <v>9.83</v>
      </c>
      <c r="S15" s="153">
        <f t="shared" si="7"/>
        <v>-0.1999999999999993</v>
      </c>
    </row>
    <row r="16" spans="1:19" ht="32.25" customHeight="1">
      <c r="A16" s="67" t="s">
        <v>39</v>
      </c>
      <c r="B16" s="68">
        <v>340</v>
      </c>
      <c r="C16" s="68">
        <v>306</v>
      </c>
      <c r="D16" s="72">
        <v>323</v>
      </c>
      <c r="E16" s="66">
        <f t="shared" si="0"/>
        <v>-17</v>
      </c>
      <c r="F16" s="70">
        <f t="shared" si="1"/>
        <v>-5</v>
      </c>
      <c r="G16" s="66">
        <f t="shared" si="2"/>
        <v>17</v>
      </c>
      <c r="H16" s="70">
        <f t="shared" si="3"/>
        <v>5.56</v>
      </c>
      <c r="I16" s="67" t="s">
        <v>40</v>
      </c>
      <c r="J16" s="68">
        <v>367</v>
      </c>
      <c r="K16" s="66">
        <v>300</v>
      </c>
      <c r="L16" s="66">
        <f>637-200</f>
        <v>437</v>
      </c>
      <c r="M16" s="66">
        <f t="shared" si="4"/>
        <v>70</v>
      </c>
      <c r="N16" s="70">
        <f t="shared" si="8"/>
        <v>19.07</v>
      </c>
      <c r="O16" s="66">
        <f t="shared" si="9"/>
        <v>137</v>
      </c>
      <c r="P16" s="70">
        <f t="shared" si="10"/>
        <v>45.67</v>
      </c>
      <c r="Q16" s="152">
        <f t="shared" si="5"/>
        <v>0.57</v>
      </c>
      <c r="R16" s="153">
        <f t="shared" si="6"/>
        <v>0.43</v>
      </c>
      <c r="S16" s="153">
        <f t="shared" si="7"/>
        <v>0.13999999999999996</v>
      </c>
    </row>
    <row r="17" spans="1:19" ht="32.25" customHeight="1">
      <c r="A17" s="67" t="s">
        <v>41</v>
      </c>
      <c r="B17" s="68">
        <v>240</v>
      </c>
      <c r="C17" s="68">
        <v>220</v>
      </c>
      <c r="D17" s="72">
        <v>152</v>
      </c>
      <c r="E17" s="66">
        <f t="shared" si="0"/>
        <v>-88</v>
      </c>
      <c r="F17" s="70">
        <f t="shared" si="1"/>
        <v>-36.67</v>
      </c>
      <c r="G17" s="66">
        <f t="shared" si="2"/>
        <v>-68</v>
      </c>
      <c r="H17" s="70">
        <f t="shared" si="3"/>
        <v>-30.91</v>
      </c>
      <c r="I17" s="67" t="s">
        <v>42</v>
      </c>
      <c r="J17" s="68">
        <v>1198</v>
      </c>
      <c r="K17" s="66">
        <v>3127</v>
      </c>
      <c r="L17" s="66">
        <f>1544-200+1000</f>
        <v>2344</v>
      </c>
      <c r="M17" s="66">
        <f t="shared" si="4"/>
        <v>1146</v>
      </c>
      <c r="N17" s="70">
        <f t="shared" si="8"/>
        <v>95.66</v>
      </c>
      <c r="O17" s="66">
        <f t="shared" si="9"/>
        <v>-783</v>
      </c>
      <c r="P17" s="70">
        <f t="shared" si="10"/>
        <v>-25.04</v>
      </c>
      <c r="Q17" s="152">
        <f t="shared" si="5"/>
        <v>3.06</v>
      </c>
      <c r="R17" s="153">
        <f t="shared" si="6"/>
        <v>4.53</v>
      </c>
      <c r="S17" s="153">
        <f t="shared" si="7"/>
        <v>-1.4700000000000002</v>
      </c>
    </row>
    <row r="18" spans="1:19" ht="32.25" customHeight="1">
      <c r="A18" s="67" t="s">
        <v>43</v>
      </c>
      <c r="B18" s="68">
        <v>1700</v>
      </c>
      <c r="C18" s="68">
        <v>1535</v>
      </c>
      <c r="D18" s="72">
        <v>1883</v>
      </c>
      <c r="E18" s="66">
        <f t="shared" si="0"/>
        <v>183</v>
      </c>
      <c r="F18" s="70">
        <f t="shared" si="1"/>
        <v>10.76</v>
      </c>
      <c r="G18" s="66">
        <f t="shared" si="2"/>
        <v>348</v>
      </c>
      <c r="H18" s="70">
        <f t="shared" si="3"/>
        <v>22.67</v>
      </c>
      <c r="I18" s="67" t="s">
        <v>44</v>
      </c>
      <c r="J18" s="68">
        <v>8409</v>
      </c>
      <c r="K18" s="66">
        <v>8223</v>
      </c>
      <c r="L18" s="66">
        <f>10299-500-500+206-500</f>
        <v>9005</v>
      </c>
      <c r="M18" s="66">
        <f t="shared" si="4"/>
        <v>596</v>
      </c>
      <c r="N18" s="70">
        <f t="shared" si="8"/>
        <v>7.09</v>
      </c>
      <c r="O18" s="66">
        <f t="shared" si="9"/>
        <v>782</v>
      </c>
      <c r="P18" s="70">
        <f t="shared" si="10"/>
        <v>9.51</v>
      </c>
      <c r="Q18" s="152">
        <f t="shared" si="5"/>
        <v>11.75</v>
      </c>
      <c r="R18" s="153">
        <f t="shared" si="6"/>
        <v>11.92</v>
      </c>
      <c r="S18" s="153">
        <f t="shared" si="7"/>
        <v>-0.16999999999999993</v>
      </c>
    </row>
    <row r="19" spans="1:19" ht="32.25" customHeight="1">
      <c r="A19" s="67" t="s">
        <v>45</v>
      </c>
      <c r="B19" s="68">
        <v>150</v>
      </c>
      <c r="C19" s="68">
        <v>136</v>
      </c>
      <c r="D19" s="72">
        <v>169</v>
      </c>
      <c r="E19" s="66">
        <f t="shared" si="0"/>
        <v>19</v>
      </c>
      <c r="F19" s="70">
        <f t="shared" si="1"/>
        <v>12.67</v>
      </c>
      <c r="G19" s="66">
        <f t="shared" si="2"/>
        <v>33</v>
      </c>
      <c r="H19" s="70">
        <f t="shared" si="3"/>
        <v>24.26</v>
      </c>
      <c r="I19" s="67" t="s">
        <v>46</v>
      </c>
      <c r="J19" s="68">
        <v>582</v>
      </c>
      <c r="K19" s="66">
        <v>2920</v>
      </c>
      <c r="L19" s="66">
        <f>2699+550</f>
        <v>3249</v>
      </c>
      <c r="M19" s="66">
        <f t="shared" si="4"/>
        <v>2667</v>
      </c>
      <c r="N19" s="70">
        <f t="shared" si="8"/>
        <v>458.25</v>
      </c>
      <c r="O19" s="66">
        <f t="shared" si="9"/>
        <v>329</v>
      </c>
      <c r="P19" s="70">
        <f t="shared" si="10"/>
        <v>11.27</v>
      </c>
      <c r="Q19" s="152">
        <f t="shared" si="5"/>
        <v>4.24</v>
      </c>
      <c r="R19" s="153">
        <f t="shared" si="6"/>
        <v>4.23</v>
      </c>
      <c r="S19" s="153">
        <f t="shared" si="7"/>
        <v>0.009999999999999787</v>
      </c>
    </row>
    <row r="20" spans="1:19" ht="32.25" customHeight="1">
      <c r="A20" s="67" t="s">
        <v>47</v>
      </c>
      <c r="B20" s="68">
        <v>450</v>
      </c>
      <c r="C20" s="68">
        <v>431</v>
      </c>
      <c r="D20" s="72">
        <v>1068</v>
      </c>
      <c r="E20" s="66">
        <f t="shared" si="0"/>
        <v>618</v>
      </c>
      <c r="F20" s="70">
        <f t="shared" si="1"/>
        <v>137.33</v>
      </c>
      <c r="G20" s="66">
        <f t="shared" si="2"/>
        <v>637</v>
      </c>
      <c r="H20" s="70">
        <f t="shared" si="3"/>
        <v>147.8</v>
      </c>
      <c r="I20" s="67" t="s">
        <v>48</v>
      </c>
      <c r="J20" s="68">
        <v>330</v>
      </c>
      <c r="K20" s="66">
        <v>614</v>
      </c>
      <c r="L20" s="66">
        <f>911-200-206</f>
        <v>505</v>
      </c>
      <c r="M20" s="66">
        <f t="shared" si="4"/>
        <v>175</v>
      </c>
      <c r="N20" s="70">
        <f t="shared" si="8"/>
        <v>53.03</v>
      </c>
      <c r="O20" s="66">
        <f t="shared" si="9"/>
        <v>-109</v>
      </c>
      <c r="P20" s="70">
        <f t="shared" si="10"/>
        <v>-17.75</v>
      </c>
      <c r="Q20" s="152">
        <f t="shared" si="5"/>
        <v>0.66</v>
      </c>
      <c r="R20" s="153">
        <f t="shared" si="6"/>
        <v>0.89</v>
      </c>
      <c r="S20" s="153">
        <f t="shared" si="7"/>
        <v>-0.22999999999999998</v>
      </c>
    </row>
    <row r="21" spans="1:19" ht="32.25" customHeight="1">
      <c r="A21" s="67" t="s">
        <v>49</v>
      </c>
      <c r="B21" s="68">
        <v>930</v>
      </c>
      <c r="C21" s="68">
        <v>937</v>
      </c>
      <c r="D21" s="72">
        <v>879</v>
      </c>
      <c r="E21" s="66">
        <f t="shared" si="0"/>
        <v>-51</v>
      </c>
      <c r="F21" s="70">
        <f t="shared" si="1"/>
        <v>-5.48</v>
      </c>
      <c r="G21" s="66">
        <f t="shared" si="2"/>
        <v>-58</v>
      </c>
      <c r="H21" s="70">
        <f t="shared" si="3"/>
        <v>-6.19</v>
      </c>
      <c r="I21" s="67" t="s">
        <v>50</v>
      </c>
      <c r="J21" s="68">
        <v>280</v>
      </c>
      <c r="K21" s="66">
        <v>219</v>
      </c>
      <c r="L21" s="66">
        <v>344</v>
      </c>
      <c r="M21" s="66">
        <f t="shared" si="4"/>
        <v>64</v>
      </c>
      <c r="N21" s="70">
        <f t="shared" si="8"/>
        <v>22.86</v>
      </c>
      <c r="O21" s="66">
        <f t="shared" si="9"/>
        <v>125</v>
      </c>
      <c r="P21" s="70">
        <f t="shared" si="10"/>
        <v>57.08</v>
      </c>
      <c r="Q21" s="152">
        <f t="shared" si="5"/>
        <v>0.45</v>
      </c>
      <c r="R21" s="153">
        <f t="shared" si="6"/>
        <v>0.32</v>
      </c>
      <c r="S21" s="153">
        <f t="shared" si="7"/>
        <v>0.13</v>
      </c>
    </row>
    <row r="22" spans="1:19" ht="32.25" customHeight="1">
      <c r="A22" s="67" t="s">
        <v>51</v>
      </c>
      <c r="B22" s="68">
        <v>3200</v>
      </c>
      <c r="C22" s="68">
        <v>3086</v>
      </c>
      <c r="D22" s="72">
        <v>3231</v>
      </c>
      <c r="E22" s="66">
        <f t="shared" si="0"/>
        <v>31</v>
      </c>
      <c r="F22" s="70">
        <f t="shared" si="1"/>
        <v>0.97</v>
      </c>
      <c r="G22" s="66">
        <f t="shared" si="2"/>
        <v>145</v>
      </c>
      <c r="H22" s="70">
        <f t="shared" si="3"/>
        <v>4.7</v>
      </c>
      <c r="I22" s="67" t="s">
        <v>52</v>
      </c>
      <c r="J22" s="68"/>
      <c r="K22" s="66">
        <v>6</v>
      </c>
      <c r="L22" s="66">
        <v>6</v>
      </c>
      <c r="M22" s="66">
        <f t="shared" si="4"/>
        <v>6</v>
      </c>
      <c r="N22" s="74" t="e">
        <f t="shared" si="8"/>
        <v>#DIV/0!</v>
      </c>
      <c r="O22" s="148">
        <f t="shared" si="9"/>
        <v>0</v>
      </c>
      <c r="P22" s="74">
        <f t="shared" si="10"/>
        <v>0</v>
      </c>
      <c r="Q22" s="152">
        <f t="shared" si="5"/>
        <v>0.01</v>
      </c>
      <c r="R22" s="153">
        <f t="shared" si="6"/>
        <v>0.01</v>
      </c>
      <c r="S22" s="153">
        <f t="shared" si="7"/>
        <v>0</v>
      </c>
    </row>
    <row r="23" spans="1:19" ht="32.25" customHeight="1">
      <c r="A23" s="67" t="s">
        <v>53</v>
      </c>
      <c r="B23" s="68"/>
      <c r="C23" s="147"/>
      <c r="D23" s="73"/>
      <c r="E23" s="66">
        <f t="shared" si="0"/>
        <v>0</v>
      </c>
      <c r="F23" s="70"/>
      <c r="G23" s="66">
        <f t="shared" si="2"/>
        <v>0</v>
      </c>
      <c r="H23" s="70"/>
      <c r="I23" s="75" t="s">
        <v>54</v>
      </c>
      <c r="J23" s="66"/>
      <c r="K23" s="66"/>
      <c r="L23" s="66"/>
      <c r="M23" s="66">
        <f t="shared" si="4"/>
        <v>0</v>
      </c>
      <c r="N23" s="74" t="e">
        <f t="shared" si="8"/>
        <v>#DIV/0!</v>
      </c>
      <c r="O23" s="148">
        <f t="shared" si="9"/>
        <v>0</v>
      </c>
      <c r="P23" s="74" t="e">
        <f t="shared" si="10"/>
        <v>#DIV/0!</v>
      </c>
      <c r="Q23" s="152">
        <f t="shared" si="5"/>
        <v>0</v>
      </c>
      <c r="R23" s="153">
        <f t="shared" si="6"/>
        <v>0</v>
      </c>
      <c r="S23" s="153">
        <f t="shared" si="7"/>
        <v>0</v>
      </c>
    </row>
    <row r="24" spans="1:19" ht="32.25" customHeight="1">
      <c r="A24" s="67" t="s">
        <v>55</v>
      </c>
      <c r="B24" s="66">
        <f>SUM(B25:B30)</f>
        <v>3560</v>
      </c>
      <c r="C24" s="66">
        <f>SUM(C25:C30)</f>
        <v>3611</v>
      </c>
      <c r="D24" s="66">
        <f>SUM(D25:D30)</f>
        <v>5666</v>
      </c>
      <c r="E24" s="66">
        <f t="shared" si="0"/>
        <v>2106</v>
      </c>
      <c r="F24" s="70">
        <f aca="true" t="shared" si="11" ref="F24:F31">ROUND(E24/B24*100,2)</f>
        <v>59.16</v>
      </c>
      <c r="G24" s="66">
        <f t="shared" si="2"/>
        <v>2055</v>
      </c>
      <c r="H24" s="70">
        <f aca="true" t="shared" si="12" ref="H24:H31">ROUND(G24/C24*100,2)</f>
        <v>56.91</v>
      </c>
      <c r="I24" s="75" t="s">
        <v>56</v>
      </c>
      <c r="J24" s="68">
        <v>170</v>
      </c>
      <c r="K24" s="66">
        <v>334</v>
      </c>
      <c r="L24" s="66">
        <f>528-240</f>
        <v>288</v>
      </c>
      <c r="M24" s="66">
        <f t="shared" si="4"/>
        <v>118</v>
      </c>
      <c r="N24" s="70">
        <f t="shared" si="8"/>
        <v>69.41</v>
      </c>
      <c r="O24" s="66">
        <f t="shared" si="9"/>
        <v>-46</v>
      </c>
      <c r="P24" s="70">
        <f t="shared" si="10"/>
        <v>-13.77</v>
      </c>
      <c r="Q24" s="152">
        <f t="shared" si="5"/>
        <v>0.38</v>
      </c>
      <c r="R24" s="153">
        <f t="shared" si="6"/>
        <v>0.48</v>
      </c>
      <c r="S24" s="153">
        <f t="shared" si="7"/>
        <v>-0.09999999999999998</v>
      </c>
    </row>
    <row r="25" spans="1:19" ht="32.25" customHeight="1">
      <c r="A25" s="67" t="s">
        <v>57</v>
      </c>
      <c r="B25" s="68">
        <v>1028</v>
      </c>
      <c r="C25" s="68">
        <v>1428</v>
      </c>
      <c r="D25" s="76">
        <v>1127</v>
      </c>
      <c r="E25" s="66">
        <f t="shared" si="0"/>
        <v>99</v>
      </c>
      <c r="F25" s="70">
        <f t="shared" si="11"/>
        <v>9.63</v>
      </c>
      <c r="G25" s="66">
        <f t="shared" si="2"/>
        <v>-301</v>
      </c>
      <c r="H25" s="70">
        <f t="shared" si="12"/>
        <v>-21.08</v>
      </c>
      <c r="I25" s="77" t="s">
        <v>58</v>
      </c>
      <c r="J25" s="68">
        <v>660</v>
      </c>
      <c r="K25" s="66">
        <v>282</v>
      </c>
      <c r="L25" s="66">
        <v>748</v>
      </c>
      <c r="M25" s="66">
        <f t="shared" si="4"/>
        <v>88</v>
      </c>
      <c r="N25" s="70">
        <f t="shared" si="8"/>
        <v>13.33</v>
      </c>
      <c r="O25" s="66">
        <f t="shared" si="9"/>
        <v>466</v>
      </c>
      <c r="P25" s="70">
        <f t="shared" si="10"/>
        <v>165.25</v>
      </c>
      <c r="Q25" s="152">
        <f t="shared" si="5"/>
        <v>0.98</v>
      </c>
      <c r="R25" s="153">
        <f t="shared" si="6"/>
        <v>0.41</v>
      </c>
      <c r="S25" s="153">
        <f t="shared" si="7"/>
        <v>0.5700000000000001</v>
      </c>
    </row>
    <row r="26" spans="1:22" ht="32.25" customHeight="1">
      <c r="A26" s="67" t="s">
        <v>59</v>
      </c>
      <c r="B26" s="68">
        <v>2767</v>
      </c>
      <c r="C26" s="68">
        <v>3130</v>
      </c>
      <c r="D26" s="76">
        <v>4838</v>
      </c>
      <c r="E26" s="66">
        <f t="shared" si="0"/>
        <v>2071</v>
      </c>
      <c r="F26" s="70">
        <f t="shared" si="11"/>
        <v>74.85</v>
      </c>
      <c r="G26" s="66">
        <f t="shared" si="2"/>
        <v>1708</v>
      </c>
      <c r="H26" s="70">
        <f t="shared" si="12"/>
        <v>54.57</v>
      </c>
      <c r="I26" s="75" t="s">
        <v>60</v>
      </c>
      <c r="J26" s="68">
        <v>157</v>
      </c>
      <c r="K26" s="66">
        <v>174</v>
      </c>
      <c r="L26" s="66">
        <v>157</v>
      </c>
      <c r="M26" s="66">
        <f t="shared" si="4"/>
        <v>0</v>
      </c>
      <c r="N26" s="70">
        <f t="shared" si="8"/>
        <v>0</v>
      </c>
      <c r="O26" s="66">
        <f t="shared" si="9"/>
        <v>-17</v>
      </c>
      <c r="P26" s="70">
        <f t="shared" si="10"/>
        <v>-9.77</v>
      </c>
      <c r="Q26" s="152">
        <f t="shared" si="5"/>
        <v>0.2</v>
      </c>
      <c r="R26" s="153">
        <f t="shared" si="6"/>
        <v>0.25</v>
      </c>
      <c r="S26" s="153">
        <f t="shared" si="7"/>
        <v>-0.04999999999999999</v>
      </c>
      <c r="V26" s="154"/>
    </row>
    <row r="27" spans="1:19" ht="32.25" customHeight="1">
      <c r="A27" s="67" t="s">
        <v>61</v>
      </c>
      <c r="B27" s="68">
        <v>230</v>
      </c>
      <c r="C27" s="68">
        <v>21</v>
      </c>
      <c r="D27" s="76">
        <v>56</v>
      </c>
      <c r="E27" s="66">
        <f t="shared" si="0"/>
        <v>-174</v>
      </c>
      <c r="F27" s="70">
        <f t="shared" si="11"/>
        <v>-75.65</v>
      </c>
      <c r="G27" s="66">
        <f t="shared" si="2"/>
        <v>35</v>
      </c>
      <c r="H27" s="70">
        <f t="shared" si="12"/>
        <v>166.67</v>
      </c>
      <c r="I27" s="75" t="s">
        <v>62</v>
      </c>
      <c r="J27" s="68">
        <v>440</v>
      </c>
      <c r="K27" s="66">
        <v>98</v>
      </c>
      <c r="L27" s="66">
        <v>440</v>
      </c>
      <c r="M27" s="66">
        <f t="shared" si="4"/>
        <v>0</v>
      </c>
      <c r="N27" s="70">
        <f t="shared" si="8"/>
        <v>0</v>
      </c>
      <c r="O27" s="66">
        <f t="shared" si="9"/>
        <v>342</v>
      </c>
      <c r="P27" s="70">
        <f t="shared" si="10"/>
        <v>348.98</v>
      </c>
      <c r="Q27" s="152">
        <f t="shared" si="5"/>
        <v>0.57</v>
      </c>
      <c r="R27" s="153">
        <f t="shared" si="6"/>
        <v>0.14</v>
      </c>
      <c r="S27" s="153">
        <f t="shared" si="7"/>
        <v>0.42999999999999994</v>
      </c>
    </row>
    <row r="28" spans="1:19" ht="32.25" customHeight="1">
      <c r="A28" s="67" t="s">
        <v>63</v>
      </c>
      <c r="B28" s="68">
        <v>-500</v>
      </c>
      <c r="C28" s="68">
        <v>-1000</v>
      </c>
      <c r="D28" s="76">
        <v>-380</v>
      </c>
      <c r="E28" s="66">
        <f t="shared" si="0"/>
        <v>120</v>
      </c>
      <c r="F28" s="70">
        <f t="shared" si="11"/>
        <v>-24</v>
      </c>
      <c r="G28" s="66">
        <f t="shared" si="2"/>
        <v>620</v>
      </c>
      <c r="H28" s="70">
        <f t="shared" si="12"/>
        <v>-62</v>
      </c>
      <c r="I28" s="67" t="s">
        <v>64</v>
      </c>
      <c r="J28" s="68">
        <f>10500+2906+139+30</f>
        <v>13575</v>
      </c>
      <c r="K28" s="66">
        <f>1121+84</f>
        <v>1205</v>
      </c>
      <c r="L28" s="66">
        <f>2100+350+30</f>
        <v>2480</v>
      </c>
      <c r="M28" s="66">
        <f t="shared" si="4"/>
        <v>-11095</v>
      </c>
      <c r="N28" s="70">
        <f t="shared" si="8"/>
        <v>-81.73</v>
      </c>
      <c r="O28" s="66">
        <f t="shared" si="9"/>
        <v>1275</v>
      </c>
      <c r="P28" s="70">
        <f t="shared" si="10"/>
        <v>105.81</v>
      </c>
      <c r="Q28" s="152">
        <f t="shared" si="5"/>
        <v>3.24</v>
      </c>
      <c r="R28" s="153">
        <f t="shared" si="6"/>
        <v>1.75</v>
      </c>
      <c r="S28" s="153">
        <f t="shared" si="7"/>
        <v>1.4900000000000002</v>
      </c>
    </row>
    <row r="29" spans="1:18" ht="32.25" customHeight="1">
      <c r="A29" s="67" t="s">
        <v>65</v>
      </c>
      <c r="B29" s="68">
        <v>35</v>
      </c>
      <c r="C29" s="68">
        <v>32</v>
      </c>
      <c r="D29" s="76">
        <v>25</v>
      </c>
      <c r="E29" s="66">
        <f t="shared" si="0"/>
        <v>-10</v>
      </c>
      <c r="F29" s="70">
        <f t="shared" si="11"/>
        <v>-28.57</v>
      </c>
      <c r="G29" s="66">
        <f t="shared" si="2"/>
        <v>-7</v>
      </c>
      <c r="H29" s="70">
        <f t="shared" si="12"/>
        <v>-21.88</v>
      </c>
      <c r="I29" s="67"/>
      <c r="J29" s="68"/>
      <c r="K29" s="66"/>
      <c r="L29" s="66"/>
      <c r="M29" s="66">
        <f t="shared" si="4"/>
        <v>0</v>
      </c>
      <c r="N29" s="70"/>
      <c r="O29" s="66"/>
      <c r="P29" s="70"/>
      <c r="Q29" s="152">
        <f t="shared" si="5"/>
        <v>0</v>
      </c>
      <c r="R29" s="153">
        <f t="shared" si="6"/>
        <v>0</v>
      </c>
    </row>
    <row r="30" spans="1:18" ht="32.25" customHeight="1">
      <c r="A30" s="67" t="s">
        <v>66</v>
      </c>
      <c r="B30" s="68"/>
      <c r="C30" s="68"/>
      <c r="D30" s="76"/>
      <c r="E30" s="66">
        <f t="shared" si="0"/>
        <v>0</v>
      </c>
      <c r="F30" s="74" t="e">
        <f t="shared" si="11"/>
        <v>#DIV/0!</v>
      </c>
      <c r="G30" s="148">
        <f t="shared" si="2"/>
        <v>0</v>
      </c>
      <c r="H30" s="74" t="e">
        <f t="shared" si="12"/>
        <v>#DIV/0!</v>
      </c>
      <c r="I30" s="67"/>
      <c r="J30" s="68"/>
      <c r="K30" s="66"/>
      <c r="L30" s="66"/>
      <c r="M30" s="66">
        <f t="shared" si="4"/>
        <v>0</v>
      </c>
      <c r="N30" s="70"/>
      <c r="O30" s="66"/>
      <c r="P30" s="70"/>
      <c r="Q30" s="152">
        <f t="shared" si="5"/>
        <v>0</v>
      </c>
      <c r="R30" s="153">
        <f t="shared" si="6"/>
        <v>0</v>
      </c>
    </row>
    <row r="31" spans="1:18" s="59" customFormat="1" ht="32.25" customHeight="1">
      <c r="A31" s="78" t="s">
        <v>67</v>
      </c>
      <c r="B31" s="79">
        <f>B8+B24</f>
        <v>33400</v>
      </c>
      <c r="C31" s="79">
        <f>C8+C24</f>
        <v>30730</v>
      </c>
      <c r="D31" s="79">
        <f>D8+D24</f>
        <v>33400</v>
      </c>
      <c r="E31" s="66">
        <f t="shared" si="0"/>
        <v>0</v>
      </c>
      <c r="F31" s="70">
        <f t="shared" si="11"/>
        <v>0</v>
      </c>
      <c r="G31" s="79">
        <f t="shared" si="2"/>
        <v>2670</v>
      </c>
      <c r="H31" s="80">
        <f t="shared" si="12"/>
        <v>8.69</v>
      </c>
      <c r="I31" s="78" t="s">
        <v>68</v>
      </c>
      <c r="J31" s="79">
        <f>SUM(J8:J30)</f>
        <v>68130</v>
      </c>
      <c r="K31" s="79">
        <f>SUM(K8:K30)</f>
        <v>69004</v>
      </c>
      <c r="L31" s="79">
        <f>SUM(L8:L30)</f>
        <v>76609</v>
      </c>
      <c r="M31" s="79">
        <f t="shared" si="4"/>
        <v>8479</v>
      </c>
      <c r="N31" s="80">
        <f>ROUND(M31/J31*100,2)</f>
        <v>12.45</v>
      </c>
      <c r="O31" s="79">
        <f>L31-K31</f>
        <v>7605</v>
      </c>
      <c r="P31" s="80">
        <f>ROUND(O31/K31*100,2)</f>
        <v>11.02</v>
      </c>
      <c r="Q31" s="152">
        <f t="shared" si="5"/>
        <v>100</v>
      </c>
      <c r="R31" s="153">
        <f t="shared" si="6"/>
        <v>100</v>
      </c>
    </row>
    <row r="32" spans="1:16" ht="32.25" customHeight="1">
      <c r="A32" s="81"/>
      <c r="B32" s="66"/>
      <c r="C32" s="66"/>
      <c r="D32" s="66"/>
      <c r="E32" s="66">
        <f t="shared" si="0"/>
        <v>0</v>
      </c>
      <c r="F32" s="70"/>
      <c r="G32" s="66">
        <f t="shared" si="2"/>
        <v>0</v>
      </c>
      <c r="H32" s="70"/>
      <c r="I32" s="81"/>
      <c r="J32" s="66"/>
      <c r="K32" s="68"/>
      <c r="L32" s="68"/>
      <c r="M32" s="66">
        <f t="shared" si="4"/>
        <v>0</v>
      </c>
      <c r="N32" s="70"/>
      <c r="O32" s="66">
        <f>L32-K32</f>
        <v>0</v>
      </c>
      <c r="P32" s="70"/>
    </row>
    <row r="33" spans="1:17" s="59" customFormat="1" ht="32.25" customHeight="1">
      <c r="A33" s="82" t="s">
        <v>69</v>
      </c>
      <c r="B33" s="79">
        <f>B34+B35</f>
        <v>25494</v>
      </c>
      <c r="C33" s="79">
        <f>C34+C35</f>
        <v>32738</v>
      </c>
      <c r="D33" s="79">
        <f>D34+D35</f>
        <v>26825</v>
      </c>
      <c r="E33" s="79">
        <f t="shared" si="0"/>
        <v>1331</v>
      </c>
      <c r="F33" s="80">
        <f aca="true" t="shared" si="13" ref="F33:F66">ROUND(E33/B33*100,2)</f>
        <v>5.22</v>
      </c>
      <c r="G33" s="79">
        <f t="shared" si="2"/>
        <v>-5913</v>
      </c>
      <c r="H33" s="80">
        <f aca="true" t="shared" si="14" ref="H33:H66">ROUND(G33/C33*100,2)</f>
        <v>-18.06</v>
      </c>
      <c r="I33" s="82" t="s">
        <v>70</v>
      </c>
      <c r="J33" s="79">
        <v>464</v>
      </c>
      <c r="K33" s="79">
        <v>554</v>
      </c>
      <c r="L33" s="79">
        <v>464</v>
      </c>
      <c r="M33" s="79">
        <f t="shared" si="4"/>
        <v>0</v>
      </c>
      <c r="N33" s="80">
        <f>ROUND(M33/J33*100,2)</f>
        <v>0</v>
      </c>
      <c r="O33" s="79">
        <f>L33-K33</f>
        <v>-90</v>
      </c>
      <c r="P33" s="80">
        <f>ROUND(O33/K33*100,2)</f>
        <v>-16.25</v>
      </c>
      <c r="Q33" s="155"/>
    </row>
    <row r="34" spans="1:17" s="59" customFormat="1" ht="32.25" customHeight="1">
      <c r="A34" s="67" t="s">
        <v>71</v>
      </c>
      <c r="B34" s="68">
        <v>1952</v>
      </c>
      <c r="C34" s="68">
        <v>1952</v>
      </c>
      <c r="D34" s="68">
        <v>1952</v>
      </c>
      <c r="E34" s="66">
        <f t="shared" si="0"/>
        <v>0</v>
      </c>
      <c r="F34" s="70">
        <f t="shared" si="13"/>
        <v>0</v>
      </c>
      <c r="G34" s="66">
        <f t="shared" si="2"/>
        <v>0</v>
      </c>
      <c r="H34" s="70">
        <f t="shared" si="14"/>
        <v>0</v>
      </c>
      <c r="I34" s="82" t="s">
        <v>72</v>
      </c>
      <c r="J34" s="79"/>
      <c r="K34" s="79">
        <v>5522</v>
      </c>
      <c r="L34" s="79">
        <v>2879</v>
      </c>
      <c r="M34" s="79">
        <f t="shared" si="4"/>
        <v>2879</v>
      </c>
      <c r="N34" s="80" t="e">
        <f>ROUND(M34/J34*100,2)</f>
        <v>#DIV/0!</v>
      </c>
      <c r="O34" s="79">
        <f>L34-K34</f>
        <v>-2643</v>
      </c>
      <c r="P34" s="80">
        <f>ROUND(O34/K34*100,2)</f>
        <v>-47.86</v>
      </c>
      <c r="Q34" s="155"/>
    </row>
    <row r="35" spans="1:17" s="59" customFormat="1" ht="32.25" customHeight="1">
      <c r="A35" s="67" t="s">
        <v>73</v>
      </c>
      <c r="B35" s="101">
        <f>SUM(B36,B37,B38,B44,B45,B52,B55,B56,B62,B70,B75,B76)</f>
        <v>23542</v>
      </c>
      <c r="C35" s="101">
        <f>SUM(C36,C37,C38,C44,C45,C52,C55,C56,C62,C70,C75,C76)</f>
        <v>30786</v>
      </c>
      <c r="D35" s="101">
        <f>SUM(D36,D37,D38,D44,D45,D52,D55,D56,D62,D70,D75,D76)</f>
        <v>24873</v>
      </c>
      <c r="E35" s="66">
        <f t="shared" si="0"/>
        <v>1331</v>
      </c>
      <c r="F35" s="70">
        <f t="shared" si="13"/>
        <v>5.65</v>
      </c>
      <c r="G35" s="66">
        <f t="shared" si="2"/>
        <v>-5913</v>
      </c>
      <c r="H35" s="70">
        <f t="shared" si="14"/>
        <v>-19.21</v>
      </c>
      <c r="I35" s="82"/>
      <c r="J35" s="79"/>
      <c r="K35" s="79"/>
      <c r="L35" s="79"/>
      <c r="M35" s="79"/>
      <c r="N35" s="80"/>
      <c r="O35" s="79"/>
      <c r="P35" s="80"/>
      <c r="Q35" s="155"/>
    </row>
    <row r="36" spans="1:17" s="59" customFormat="1" ht="32.25" customHeight="1">
      <c r="A36" s="67" t="s">
        <v>74</v>
      </c>
      <c r="B36" s="68">
        <v>2055</v>
      </c>
      <c r="C36" s="68">
        <v>2055</v>
      </c>
      <c r="D36" s="68">
        <v>2055</v>
      </c>
      <c r="E36" s="66">
        <f t="shared" si="0"/>
        <v>0</v>
      </c>
      <c r="F36" s="70">
        <f t="shared" si="13"/>
        <v>0</v>
      </c>
      <c r="G36" s="66">
        <f t="shared" si="2"/>
        <v>0</v>
      </c>
      <c r="H36" s="70">
        <f t="shared" si="14"/>
        <v>0</v>
      </c>
      <c r="I36" s="82"/>
      <c r="J36" s="79"/>
      <c r="K36" s="79"/>
      <c r="L36" s="79"/>
      <c r="M36" s="79"/>
      <c r="N36" s="80"/>
      <c r="O36" s="79"/>
      <c r="P36" s="80"/>
      <c r="Q36" s="155"/>
    </row>
    <row r="37" spans="1:17" s="59" customFormat="1" ht="32.25" customHeight="1">
      <c r="A37" s="67" t="s">
        <v>75</v>
      </c>
      <c r="B37" s="68">
        <v>2015</v>
      </c>
      <c r="C37" s="68">
        <v>2015</v>
      </c>
      <c r="D37" s="68">
        <v>2015</v>
      </c>
      <c r="E37" s="66">
        <f t="shared" si="0"/>
        <v>0</v>
      </c>
      <c r="F37" s="70">
        <f t="shared" si="13"/>
        <v>0</v>
      </c>
      <c r="G37" s="66">
        <f t="shared" si="2"/>
        <v>0</v>
      </c>
      <c r="H37" s="70">
        <f t="shared" si="14"/>
        <v>0</v>
      </c>
      <c r="I37" s="82"/>
      <c r="J37" s="79"/>
      <c r="K37" s="79"/>
      <c r="L37" s="79"/>
      <c r="M37" s="79"/>
      <c r="N37" s="80"/>
      <c r="O37" s="79"/>
      <c r="P37" s="80"/>
      <c r="Q37" s="155"/>
    </row>
    <row r="38" spans="1:17" s="59" customFormat="1" ht="32.25" customHeight="1">
      <c r="A38" s="67" t="s">
        <v>76</v>
      </c>
      <c r="B38" s="101">
        <f>SUM(B39:B43)</f>
        <v>1668</v>
      </c>
      <c r="C38" s="101">
        <f>SUM(C39:C43)</f>
        <v>1668</v>
      </c>
      <c r="D38" s="101">
        <f>SUM(D39:D43)</f>
        <v>2112</v>
      </c>
      <c r="E38" s="66">
        <f t="shared" si="0"/>
        <v>444</v>
      </c>
      <c r="F38" s="70">
        <f t="shared" si="13"/>
        <v>26.62</v>
      </c>
      <c r="G38" s="66">
        <f t="shared" si="2"/>
        <v>444</v>
      </c>
      <c r="H38" s="70">
        <f t="shared" si="14"/>
        <v>26.62</v>
      </c>
      <c r="I38" s="82"/>
      <c r="J38" s="79"/>
      <c r="K38" s="79"/>
      <c r="L38" s="79"/>
      <c r="M38" s="79"/>
      <c r="N38" s="80"/>
      <c r="O38" s="79"/>
      <c r="P38" s="80"/>
      <c r="Q38" s="155"/>
    </row>
    <row r="39" spans="1:17" s="59" customFormat="1" ht="32.25" customHeight="1" hidden="1">
      <c r="A39" s="67" t="s">
        <v>77</v>
      </c>
      <c r="B39" s="101">
        <v>1504</v>
      </c>
      <c r="C39" s="68">
        <v>1504</v>
      </c>
      <c r="D39" s="68">
        <v>1504</v>
      </c>
      <c r="E39" s="66">
        <f t="shared" si="0"/>
        <v>0</v>
      </c>
      <c r="F39" s="70">
        <f t="shared" si="13"/>
        <v>0</v>
      </c>
      <c r="G39" s="66">
        <f t="shared" si="2"/>
        <v>0</v>
      </c>
      <c r="H39" s="70">
        <f t="shared" si="14"/>
        <v>0</v>
      </c>
      <c r="I39" s="82"/>
      <c r="J39" s="79"/>
      <c r="K39" s="79"/>
      <c r="L39" s="79"/>
      <c r="M39" s="79"/>
      <c r="N39" s="80"/>
      <c r="O39" s="79"/>
      <c r="P39" s="80"/>
      <c r="Q39" s="155"/>
    </row>
    <row r="40" spans="1:17" s="59" customFormat="1" ht="32.25" customHeight="1" hidden="1">
      <c r="A40" s="67" t="s">
        <v>78</v>
      </c>
      <c r="B40" s="101">
        <v>13</v>
      </c>
      <c r="C40" s="68">
        <v>13</v>
      </c>
      <c r="D40" s="68">
        <v>13</v>
      </c>
      <c r="E40" s="66">
        <f aca="true" t="shared" si="15" ref="E40:E73">D40-B40</f>
        <v>0</v>
      </c>
      <c r="F40" s="70">
        <f t="shared" si="13"/>
        <v>0</v>
      </c>
      <c r="G40" s="66">
        <f aca="true" t="shared" si="16" ref="G40:G73">D40-C40</f>
        <v>0</v>
      </c>
      <c r="H40" s="70">
        <f t="shared" si="14"/>
        <v>0</v>
      </c>
      <c r="I40" s="82"/>
      <c r="J40" s="79"/>
      <c r="K40" s="79"/>
      <c r="L40" s="79"/>
      <c r="M40" s="79"/>
      <c r="N40" s="80"/>
      <c r="O40" s="79"/>
      <c r="P40" s="80"/>
      <c r="Q40" s="155"/>
    </row>
    <row r="41" spans="1:17" s="59" customFormat="1" ht="42.75" customHeight="1" hidden="1">
      <c r="A41" s="84" t="s">
        <v>79</v>
      </c>
      <c r="B41" s="101">
        <v>151</v>
      </c>
      <c r="C41" s="68">
        <v>151</v>
      </c>
      <c r="D41" s="68">
        <v>151</v>
      </c>
      <c r="E41" s="66">
        <f t="shared" si="15"/>
        <v>0</v>
      </c>
      <c r="F41" s="70">
        <f t="shared" si="13"/>
        <v>0</v>
      </c>
      <c r="G41" s="66">
        <f t="shared" si="16"/>
        <v>0</v>
      </c>
      <c r="H41" s="70">
        <f t="shared" si="14"/>
        <v>0</v>
      </c>
      <c r="I41" s="82"/>
      <c r="J41" s="79"/>
      <c r="K41" s="79"/>
      <c r="L41" s="79"/>
      <c r="M41" s="79"/>
      <c r="N41" s="80"/>
      <c r="O41" s="79"/>
      <c r="P41" s="80"/>
      <c r="Q41" s="155"/>
    </row>
    <row r="42" spans="1:17" s="59" customFormat="1" ht="32.25" customHeight="1" hidden="1">
      <c r="A42" s="67" t="s">
        <v>80</v>
      </c>
      <c r="B42" s="101"/>
      <c r="C42" s="68"/>
      <c r="D42" s="68">
        <v>444</v>
      </c>
      <c r="E42" s="66">
        <f t="shared" si="15"/>
        <v>444</v>
      </c>
      <c r="F42" s="70" t="e">
        <f t="shared" si="13"/>
        <v>#DIV/0!</v>
      </c>
      <c r="G42" s="66">
        <f t="shared" si="16"/>
        <v>444</v>
      </c>
      <c r="H42" s="70" t="e">
        <f t="shared" si="14"/>
        <v>#DIV/0!</v>
      </c>
      <c r="I42" s="82"/>
      <c r="J42" s="79"/>
      <c r="K42" s="79"/>
      <c r="L42" s="79"/>
      <c r="M42" s="79"/>
      <c r="N42" s="80"/>
      <c r="O42" s="79"/>
      <c r="P42" s="80"/>
      <c r="Q42" s="155"/>
    </row>
    <row r="43" spans="1:17" s="60" customFormat="1" ht="32.25" customHeight="1" hidden="1">
      <c r="A43" s="85" t="s">
        <v>81</v>
      </c>
      <c r="B43" s="98"/>
      <c r="C43" s="98"/>
      <c r="D43" s="98"/>
      <c r="E43" s="66">
        <f t="shared" si="15"/>
        <v>0</v>
      </c>
      <c r="F43" s="70" t="e">
        <f t="shared" si="13"/>
        <v>#DIV/0!</v>
      </c>
      <c r="G43" s="66">
        <f t="shared" si="16"/>
        <v>0</v>
      </c>
      <c r="H43" s="70" t="e">
        <f t="shared" si="14"/>
        <v>#DIV/0!</v>
      </c>
      <c r="I43" s="89"/>
      <c r="J43" s="87"/>
      <c r="K43" s="87"/>
      <c r="L43" s="87"/>
      <c r="M43" s="87"/>
      <c r="N43" s="88"/>
      <c r="O43" s="87"/>
      <c r="P43" s="88"/>
      <c r="Q43" s="156"/>
    </row>
    <row r="44" spans="1:17" s="59" customFormat="1" ht="32.25" customHeight="1">
      <c r="A44" s="67" t="s">
        <v>82</v>
      </c>
      <c r="B44" s="68">
        <v>4554</v>
      </c>
      <c r="C44" s="68">
        <v>5910</v>
      </c>
      <c r="D44" s="68">
        <v>5647</v>
      </c>
      <c r="E44" s="66">
        <f t="shared" si="15"/>
        <v>1093</v>
      </c>
      <c r="F44" s="70">
        <f t="shared" si="13"/>
        <v>24</v>
      </c>
      <c r="G44" s="66">
        <f t="shared" si="16"/>
        <v>-263</v>
      </c>
      <c r="H44" s="70">
        <f t="shared" si="14"/>
        <v>-4.45</v>
      </c>
      <c r="I44" s="82"/>
      <c r="J44" s="79"/>
      <c r="K44" s="79"/>
      <c r="L44" s="79"/>
      <c r="M44" s="79"/>
      <c r="N44" s="80"/>
      <c r="O44" s="79"/>
      <c r="P44" s="80"/>
      <c r="Q44" s="155"/>
    </row>
    <row r="45" spans="1:17" s="59" customFormat="1" ht="32.25" customHeight="1">
      <c r="A45" s="67" t="s">
        <v>83</v>
      </c>
      <c r="B45" s="101">
        <f>SUM(B46:B51)</f>
        <v>1432</v>
      </c>
      <c r="C45" s="101">
        <f>SUM(C46:C51)</f>
        <v>579</v>
      </c>
      <c r="D45" s="101">
        <f>SUM(D46:D51)</f>
        <v>433</v>
      </c>
      <c r="E45" s="66">
        <f t="shared" si="15"/>
        <v>-999</v>
      </c>
      <c r="F45" s="70">
        <f t="shared" si="13"/>
        <v>-69.76</v>
      </c>
      <c r="G45" s="66">
        <f t="shared" si="16"/>
        <v>-146</v>
      </c>
      <c r="H45" s="70">
        <f t="shared" si="14"/>
        <v>-25.22</v>
      </c>
      <c r="I45" s="82"/>
      <c r="J45" s="79"/>
      <c r="K45" s="79"/>
      <c r="L45" s="79"/>
      <c r="M45" s="79"/>
      <c r="N45" s="80"/>
      <c r="O45" s="79"/>
      <c r="P45" s="80"/>
      <c r="Q45" s="155"/>
    </row>
    <row r="46" spans="1:17" s="59" customFormat="1" ht="35.25" customHeight="1" hidden="1">
      <c r="A46" s="67" t="s">
        <v>84</v>
      </c>
      <c r="B46" s="92">
        <v>379</v>
      </c>
      <c r="C46" s="68">
        <v>383</v>
      </c>
      <c r="D46" s="68">
        <v>380</v>
      </c>
      <c r="E46" s="66">
        <f t="shared" si="15"/>
        <v>1</v>
      </c>
      <c r="F46" s="70">
        <f t="shared" si="13"/>
        <v>0.26</v>
      </c>
      <c r="G46" s="66">
        <f t="shared" si="16"/>
        <v>-3</v>
      </c>
      <c r="H46" s="70">
        <f t="shared" si="14"/>
        <v>-0.78</v>
      </c>
      <c r="I46" s="82"/>
      <c r="J46" s="79"/>
      <c r="K46" s="79"/>
      <c r="L46" s="79"/>
      <c r="M46" s="79"/>
      <c r="N46" s="80"/>
      <c r="O46" s="79"/>
      <c r="P46" s="80"/>
      <c r="Q46" s="155"/>
    </row>
    <row r="47" spans="1:17" s="59" customFormat="1" ht="35.25" customHeight="1" hidden="1">
      <c r="A47" s="91" t="s">
        <v>85</v>
      </c>
      <c r="B47" s="68"/>
      <c r="C47" s="68">
        <v>10</v>
      </c>
      <c r="D47" s="68"/>
      <c r="E47" s="66">
        <f t="shared" si="15"/>
        <v>0</v>
      </c>
      <c r="F47" s="70" t="e">
        <f t="shared" si="13"/>
        <v>#DIV/0!</v>
      </c>
      <c r="G47" s="66">
        <f t="shared" si="16"/>
        <v>-10</v>
      </c>
      <c r="H47" s="70">
        <f t="shared" si="14"/>
        <v>-100</v>
      </c>
      <c r="I47" s="82"/>
      <c r="J47" s="79"/>
      <c r="K47" s="79"/>
      <c r="L47" s="79"/>
      <c r="M47" s="79"/>
      <c r="N47" s="80"/>
      <c r="O47" s="79"/>
      <c r="P47" s="80"/>
      <c r="Q47" s="155"/>
    </row>
    <row r="48" spans="1:17" s="59" customFormat="1" ht="35.25" customHeight="1" hidden="1">
      <c r="A48" s="67" t="s">
        <v>86</v>
      </c>
      <c r="B48" s="92"/>
      <c r="C48" s="68">
        <v>132</v>
      </c>
      <c r="D48" s="68"/>
      <c r="E48" s="66">
        <f t="shared" si="15"/>
        <v>0</v>
      </c>
      <c r="F48" s="70" t="e">
        <f t="shared" si="13"/>
        <v>#DIV/0!</v>
      </c>
      <c r="G48" s="66">
        <f t="shared" si="16"/>
        <v>-132</v>
      </c>
      <c r="H48" s="70">
        <f t="shared" si="14"/>
        <v>-100</v>
      </c>
      <c r="I48" s="82"/>
      <c r="J48" s="79"/>
      <c r="K48" s="79"/>
      <c r="L48" s="79"/>
      <c r="M48" s="79"/>
      <c r="N48" s="80"/>
      <c r="O48" s="79"/>
      <c r="P48" s="80"/>
      <c r="Q48" s="155"/>
    </row>
    <row r="49" spans="1:17" s="59" customFormat="1" ht="35.25" customHeight="1" hidden="1">
      <c r="A49" s="84" t="s">
        <v>87</v>
      </c>
      <c r="B49" s="68">
        <v>1000</v>
      </c>
      <c r="C49" s="68"/>
      <c r="D49" s="68"/>
      <c r="E49" s="66">
        <f t="shared" si="15"/>
        <v>-1000</v>
      </c>
      <c r="F49" s="70">
        <f t="shared" si="13"/>
        <v>-100</v>
      </c>
      <c r="G49" s="66">
        <f t="shared" si="16"/>
        <v>0</v>
      </c>
      <c r="H49" s="70" t="e">
        <f t="shared" si="14"/>
        <v>#DIV/0!</v>
      </c>
      <c r="I49" s="82"/>
      <c r="J49" s="79"/>
      <c r="K49" s="79"/>
      <c r="L49" s="79"/>
      <c r="M49" s="79"/>
      <c r="N49" s="80"/>
      <c r="O49" s="79"/>
      <c r="P49" s="80"/>
      <c r="Q49" s="155"/>
    </row>
    <row r="50" spans="1:17" s="59" customFormat="1" ht="35.25" customHeight="1" hidden="1">
      <c r="A50" s="67" t="s">
        <v>88</v>
      </c>
      <c r="B50" s="68">
        <v>18</v>
      </c>
      <c r="C50" s="68">
        <v>19</v>
      </c>
      <c r="D50" s="68">
        <v>18</v>
      </c>
      <c r="E50" s="66">
        <f t="shared" si="15"/>
        <v>0</v>
      </c>
      <c r="F50" s="70">
        <f t="shared" si="13"/>
        <v>0</v>
      </c>
      <c r="G50" s="66">
        <f t="shared" si="16"/>
        <v>-1</v>
      </c>
      <c r="H50" s="70">
        <f t="shared" si="14"/>
        <v>-5.26</v>
      </c>
      <c r="I50" s="82"/>
      <c r="J50" s="79"/>
      <c r="K50" s="79"/>
      <c r="L50" s="79"/>
      <c r="M50" s="79"/>
      <c r="N50" s="80"/>
      <c r="O50" s="79"/>
      <c r="P50" s="80"/>
      <c r="Q50" s="155"/>
    </row>
    <row r="51" spans="1:17" s="59" customFormat="1" ht="35.25" customHeight="1" hidden="1">
      <c r="A51" s="67" t="s">
        <v>89</v>
      </c>
      <c r="B51" s="68">
        <v>35</v>
      </c>
      <c r="C51" s="68">
        <v>35</v>
      </c>
      <c r="D51" s="68">
        <v>35</v>
      </c>
      <c r="E51" s="66">
        <f t="shared" si="15"/>
        <v>0</v>
      </c>
      <c r="F51" s="70">
        <f t="shared" si="13"/>
        <v>0</v>
      </c>
      <c r="G51" s="66">
        <f t="shared" si="16"/>
        <v>0</v>
      </c>
      <c r="H51" s="70">
        <f t="shared" si="14"/>
        <v>0</v>
      </c>
      <c r="I51" s="82"/>
      <c r="J51" s="79"/>
      <c r="K51" s="79"/>
      <c r="L51" s="79"/>
      <c r="M51" s="79"/>
      <c r="N51" s="80"/>
      <c r="O51" s="79"/>
      <c r="P51" s="80"/>
      <c r="Q51" s="155"/>
    </row>
    <row r="52" spans="1:17" s="60" customFormat="1" ht="32.25" customHeight="1">
      <c r="A52" s="85" t="s">
        <v>90</v>
      </c>
      <c r="B52" s="98">
        <f>SUM(B53:B54)</f>
        <v>0</v>
      </c>
      <c r="C52" s="98">
        <f>SUM(C53:C54)</f>
        <v>690</v>
      </c>
      <c r="D52" s="98"/>
      <c r="E52" s="95">
        <f t="shared" si="15"/>
        <v>0</v>
      </c>
      <c r="F52" s="74" t="e">
        <f t="shared" si="13"/>
        <v>#DIV/0!</v>
      </c>
      <c r="G52" s="95">
        <f t="shared" si="16"/>
        <v>-690</v>
      </c>
      <c r="H52" s="96">
        <f t="shared" si="14"/>
        <v>-100</v>
      </c>
      <c r="I52" s="89"/>
      <c r="J52" s="87"/>
      <c r="K52" s="87"/>
      <c r="L52" s="87"/>
      <c r="M52" s="87"/>
      <c r="N52" s="88"/>
      <c r="O52" s="87"/>
      <c r="P52" s="88"/>
      <c r="Q52" s="156"/>
    </row>
    <row r="53" spans="1:17" s="60" customFormat="1" ht="32.25" customHeight="1" hidden="1">
      <c r="A53" s="85" t="s">
        <v>91</v>
      </c>
      <c r="B53" s="98"/>
      <c r="C53" s="98">
        <v>690</v>
      </c>
      <c r="D53" s="98"/>
      <c r="E53" s="95">
        <f t="shared" si="15"/>
        <v>0</v>
      </c>
      <c r="F53" s="96" t="e">
        <f t="shared" si="13"/>
        <v>#DIV/0!</v>
      </c>
      <c r="G53" s="95">
        <f t="shared" si="16"/>
        <v>-690</v>
      </c>
      <c r="H53" s="96">
        <f t="shared" si="14"/>
        <v>-100</v>
      </c>
      <c r="I53" s="89"/>
      <c r="J53" s="87"/>
      <c r="K53" s="87"/>
      <c r="L53" s="87"/>
      <c r="M53" s="87"/>
      <c r="N53" s="88"/>
      <c r="O53" s="87"/>
      <c r="P53" s="88"/>
      <c r="Q53" s="156"/>
    </row>
    <row r="54" spans="1:17" s="60" customFormat="1" ht="32.25" customHeight="1" hidden="1">
      <c r="A54" s="85" t="s">
        <v>92</v>
      </c>
      <c r="B54" s="98"/>
      <c r="C54" s="98"/>
      <c r="D54" s="98"/>
      <c r="E54" s="95">
        <f t="shared" si="15"/>
        <v>0</v>
      </c>
      <c r="F54" s="96" t="e">
        <f t="shared" si="13"/>
        <v>#DIV/0!</v>
      </c>
      <c r="G54" s="95">
        <f t="shared" si="16"/>
        <v>0</v>
      </c>
      <c r="H54" s="96" t="e">
        <f t="shared" si="14"/>
        <v>#DIV/0!</v>
      </c>
      <c r="I54" s="89"/>
      <c r="J54" s="87"/>
      <c r="K54" s="87"/>
      <c r="L54" s="87"/>
      <c r="M54" s="87"/>
      <c r="N54" s="88"/>
      <c r="O54" s="87"/>
      <c r="P54" s="88"/>
      <c r="Q54" s="156"/>
    </row>
    <row r="55" spans="1:16" ht="32.25" customHeight="1">
      <c r="A55" s="67" t="s">
        <v>93</v>
      </c>
      <c r="B55" s="68">
        <v>1505</v>
      </c>
      <c r="C55" s="68">
        <v>1887</v>
      </c>
      <c r="D55" s="68">
        <v>1505</v>
      </c>
      <c r="E55" s="66">
        <f t="shared" si="15"/>
        <v>0</v>
      </c>
      <c r="F55" s="70">
        <f t="shared" si="13"/>
        <v>0</v>
      </c>
      <c r="G55" s="66">
        <f t="shared" si="16"/>
        <v>-382</v>
      </c>
      <c r="H55" s="70">
        <f t="shared" si="14"/>
        <v>-20.24</v>
      </c>
      <c r="I55" s="67"/>
      <c r="J55" s="68"/>
      <c r="K55" s="68"/>
      <c r="L55" s="68"/>
      <c r="M55" s="66">
        <f>L55-J55</f>
        <v>0</v>
      </c>
      <c r="N55" s="70"/>
      <c r="O55" s="66"/>
      <c r="P55" s="70"/>
    </row>
    <row r="56" spans="1:17" s="59" customFormat="1" ht="32.25" customHeight="1">
      <c r="A56" s="67" t="s">
        <v>94</v>
      </c>
      <c r="B56" s="101">
        <f>SUM(B57:B61)</f>
        <v>1360</v>
      </c>
      <c r="C56" s="101">
        <f>SUM(C57:C61)</f>
        <v>1684</v>
      </c>
      <c r="D56" s="101">
        <f>SUM(D57:D61)</f>
        <v>1729</v>
      </c>
      <c r="E56" s="66">
        <f t="shared" si="15"/>
        <v>369</v>
      </c>
      <c r="F56" s="70">
        <f t="shared" si="13"/>
        <v>27.13</v>
      </c>
      <c r="G56" s="66">
        <f t="shared" si="16"/>
        <v>45</v>
      </c>
      <c r="H56" s="70">
        <f t="shared" si="14"/>
        <v>2.67</v>
      </c>
      <c r="I56" s="82"/>
      <c r="J56" s="79"/>
      <c r="K56" s="79"/>
      <c r="L56" s="79"/>
      <c r="M56" s="79"/>
      <c r="N56" s="80"/>
      <c r="O56" s="79"/>
      <c r="P56" s="80"/>
      <c r="Q56" s="155"/>
    </row>
    <row r="57" spans="1:17" s="59" customFormat="1" ht="35.25" customHeight="1" hidden="1">
      <c r="A57" s="84" t="s">
        <v>95</v>
      </c>
      <c r="B57" s="68">
        <v>523</v>
      </c>
      <c r="C57" s="68">
        <v>680</v>
      </c>
      <c r="D57" s="68">
        <v>892</v>
      </c>
      <c r="E57" s="66">
        <f t="shared" si="15"/>
        <v>369</v>
      </c>
      <c r="F57" s="70">
        <f t="shared" si="13"/>
        <v>70.55</v>
      </c>
      <c r="G57" s="66">
        <f t="shared" si="16"/>
        <v>212</v>
      </c>
      <c r="H57" s="70">
        <f t="shared" si="14"/>
        <v>31.18</v>
      </c>
      <c r="I57" s="82"/>
      <c r="J57" s="79"/>
      <c r="K57" s="79"/>
      <c r="L57" s="79"/>
      <c r="M57" s="79"/>
      <c r="N57" s="80"/>
      <c r="O57" s="79"/>
      <c r="P57" s="80"/>
      <c r="Q57" s="155"/>
    </row>
    <row r="58" spans="1:17" s="61" customFormat="1" ht="35.25" customHeight="1" hidden="1">
      <c r="A58" s="94" t="s">
        <v>96</v>
      </c>
      <c r="B58" s="98"/>
      <c r="C58" s="98"/>
      <c r="D58" s="98"/>
      <c r="E58" s="95">
        <f t="shared" si="15"/>
        <v>0</v>
      </c>
      <c r="F58" s="96" t="e">
        <f t="shared" si="13"/>
        <v>#DIV/0!</v>
      </c>
      <c r="G58" s="95">
        <f t="shared" si="16"/>
        <v>0</v>
      </c>
      <c r="H58" s="96" t="e">
        <f t="shared" si="14"/>
        <v>#DIV/0!</v>
      </c>
      <c r="I58" s="97"/>
      <c r="J58" s="98"/>
      <c r="K58" s="98"/>
      <c r="L58" s="98"/>
      <c r="M58" s="95">
        <f aca="true" t="shared" si="17" ref="M58:M80">L58-J58</f>
        <v>0</v>
      </c>
      <c r="N58" s="96"/>
      <c r="O58" s="95">
        <f aca="true" t="shared" si="18" ref="O58:O80">L58-K58</f>
        <v>0</v>
      </c>
      <c r="P58" s="96"/>
      <c r="Q58" s="157"/>
    </row>
    <row r="59" spans="1:16" ht="35.25" customHeight="1" hidden="1">
      <c r="A59" s="67" t="s">
        <v>97</v>
      </c>
      <c r="B59" s="68">
        <v>837</v>
      </c>
      <c r="C59" s="68">
        <v>837</v>
      </c>
      <c r="D59" s="68">
        <v>837</v>
      </c>
      <c r="E59" s="66">
        <f t="shared" si="15"/>
        <v>0</v>
      </c>
      <c r="F59" s="70">
        <f t="shared" si="13"/>
        <v>0</v>
      </c>
      <c r="G59" s="66">
        <f t="shared" si="16"/>
        <v>0</v>
      </c>
      <c r="H59" s="70">
        <f t="shared" si="14"/>
        <v>0</v>
      </c>
      <c r="I59" s="67"/>
      <c r="J59" s="68"/>
      <c r="K59" s="68"/>
      <c r="L59" s="68"/>
      <c r="M59" s="66">
        <f t="shared" si="17"/>
        <v>0</v>
      </c>
      <c r="N59" s="70"/>
      <c r="O59" s="66">
        <f t="shared" si="18"/>
        <v>0</v>
      </c>
      <c r="P59" s="70"/>
    </row>
    <row r="60" spans="1:16" ht="35.25" customHeight="1" hidden="1">
      <c r="A60" s="85" t="s">
        <v>98</v>
      </c>
      <c r="B60" s="68"/>
      <c r="C60" s="149">
        <v>74</v>
      </c>
      <c r="D60" s="68"/>
      <c r="E60" s="66">
        <f t="shared" si="15"/>
        <v>0</v>
      </c>
      <c r="F60" s="70" t="e">
        <f t="shared" si="13"/>
        <v>#DIV/0!</v>
      </c>
      <c r="G60" s="66">
        <f t="shared" si="16"/>
        <v>-74</v>
      </c>
      <c r="H60" s="70">
        <f t="shared" si="14"/>
        <v>-100</v>
      </c>
      <c r="I60" s="67"/>
      <c r="J60" s="68"/>
      <c r="K60" s="68"/>
      <c r="L60" s="68"/>
      <c r="M60" s="66">
        <f t="shared" si="17"/>
        <v>0</v>
      </c>
      <c r="N60" s="70"/>
      <c r="O60" s="66">
        <f t="shared" si="18"/>
        <v>0</v>
      </c>
      <c r="P60" s="70"/>
    </row>
    <row r="61" spans="1:16" ht="35.25" customHeight="1" hidden="1">
      <c r="A61" s="85" t="s">
        <v>99</v>
      </c>
      <c r="B61" s="68"/>
      <c r="C61" s="149">
        <v>93</v>
      </c>
      <c r="D61" s="68"/>
      <c r="E61" s="66">
        <f t="shared" si="15"/>
        <v>0</v>
      </c>
      <c r="F61" s="70" t="e">
        <f t="shared" si="13"/>
        <v>#DIV/0!</v>
      </c>
      <c r="G61" s="66">
        <f t="shared" si="16"/>
        <v>-93</v>
      </c>
      <c r="H61" s="70">
        <f t="shared" si="14"/>
        <v>-100</v>
      </c>
      <c r="I61" s="67"/>
      <c r="J61" s="68"/>
      <c r="K61" s="68"/>
      <c r="L61" s="68"/>
      <c r="M61" s="66">
        <f t="shared" si="17"/>
        <v>0</v>
      </c>
      <c r="N61" s="70"/>
      <c r="O61" s="66">
        <f t="shared" si="18"/>
        <v>0</v>
      </c>
      <c r="P61" s="70"/>
    </row>
    <row r="62" spans="1:17" s="61" customFormat="1" ht="32.25" customHeight="1">
      <c r="A62" s="85" t="s">
        <v>100</v>
      </c>
      <c r="B62" s="150">
        <f>SUM(B63:B69)</f>
        <v>0</v>
      </c>
      <c r="C62" s="150">
        <f>SUM(C63:C69)</f>
        <v>1884</v>
      </c>
      <c r="D62" s="150"/>
      <c r="E62" s="95">
        <f t="shared" si="15"/>
        <v>0</v>
      </c>
      <c r="F62" s="74" t="e">
        <f t="shared" si="13"/>
        <v>#DIV/0!</v>
      </c>
      <c r="G62" s="95">
        <f t="shared" si="16"/>
        <v>-1884</v>
      </c>
      <c r="H62" s="96">
        <f t="shared" si="14"/>
        <v>-100</v>
      </c>
      <c r="I62" s="85"/>
      <c r="J62" s="98"/>
      <c r="K62" s="98"/>
      <c r="L62" s="98"/>
      <c r="M62" s="95">
        <f t="shared" si="17"/>
        <v>0</v>
      </c>
      <c r="N62" s="96"/>
      <c r="O62" s="95">
        <f t="shared" si="18"/>
        <v>0</v>
      </c>
      <c r="P62" s="96"/>
      <c r="Q62" s="157"/>
    </row>
    <row r="63" spans="1:17" s="61" customFormat="1" ht="32.25" customHeight="1" hidden="1">
      <c r="A63" s="85" t="s">
        <v>101</v>
      </c>
      <c r="B63" s="150"/>
      <c r="C63" s="150">
        <v>978</v>
      </c>
      <c r="D63" s="150"/>
      <c r="E63" s="95">
        <f t="shared" si="15"/>
        <v>0</v>
      </c>
      <c r="F63" s="74" t="e">
        <f t="shared" si="13"/>
        <v>#DIV/0!</v>
      </c>
      <c r="G63" s="95">
        <f t="shared" si="16"/>
        <v>-978</v>
      </c>
      <c r="H63" s="96">
        <f t="shared" si="14"/>
        <v>-100</v>
      </c>
      <c r="I63" s="85"/>
      <c r="J63" s="98"/>
      <c r="K63" s="98"/>
      <c r="L63" s="98"/>
      <c r="M63" s="95">
        <f t="shared" si="17"/>
        <v>0</v>
      </c>
      <c r="N63" s="96"/>
      <c r="O63" s="95">
        <f t="shared" si="18"/>
        <v>0</v>
      </c>
      <c r="P63" s="96"/>
      <c r="Q63" s="157"/>
    </row>
    <row r="64" spans="1:17" s="61" customFormat="1" ht="32.25" customHeight="1" hidden="1">
      <c r="A64" s="85" t="s">
        <v>102</v>
      </c>
      <c r="B64" s="150"/>
      <c r="C64" s="150">
        <v>550</v>
      </c>
      <c r="D64" s="150"/>
      <c r="E64" s="95">
        <f t="shared" si="15"/>
        <v>0</v>
      </c>
      <c r="F64" s="74" t="e">
        <f t="shared" si="13"/>
        <v>#DIV/0!</v>
      </c>
      <c r="G64" s="95">
        <f t="shared" si="16"/>
        <v>-550</v>
      </c>
      <c r="H64" s="96">
        <f t="shared" si="14"/>
        <v>-100</v>
      </c>
      <c r="I64" s="85"/>
      <c r="J64" s="98"/>
      <c r="K64" s="98"/>
      <c r="L64" s="98"/>
      <c r="M64" s="95">
        <f t="shared" si="17"/>
        <v>0</v>
      </c>
      <c r="N64" s="96"/>
      <c r="O64" s="95">
        <f t="shared" si="18"/>
        <v>0</v>
      </c>
      <c r="P64" s="96"/>
      <c r="Q64" s="157"/>
    </row>
    <row r="65" spans="1:17" s="61" customFormat="1" ht="32.25" customHeight="1" hidden="1">
      <c r="A65" s="85" t="s">
        <v>103</v>
      </c>
      <c r="B65" s="150"/>
      <c r="C65" s="150">
        <v>209</v>
      </c>
      <c r="D65" s="150"/>
      <c r="E65" s="95">
        <f t="shared" si="15"/>
        <v>0</v>
      </c>
      <c r="F65" s="74" t="e">
        <f t="shared" si="13"/>
        <v>#DIV/0!</v>
      </c>
      <c r="G65" s="95">
        <f t="shared" si="16"/>
        <v>-209</v>
      </c>
      <c r="H65" s="96">
        <f t="shared" si="14"/>
        <v>-100</v>
      </c>
      <c r="I65" s="85"/>
      <c r="J65" s="98"/>
      <c r="K65" s="98"/>
      <c r="L65" s="98"/>
      <c r="M65" s="95">
        <f t="shared" si="17"/>
        <v>0</v>
      </c>
      <c r="N65" s="96"/>
      <c r="O65" s="95">
        <f t="shared" si="18"/>
        <v>0</v>
      </c>
      <c r="P65" s="96"/>
      <c r="Q65" s="157"/>
    </row>
    <row r="66" spans="1:17" s="61" customFormat="1" ht="32.25" customHeight="1" hidden="1">
      <c r="A66" s="85" t="s">
        <v>104</v>
      </c>
      <c r="B66" s="150"/>
      <c r="C66" s="150"/>
      <c r="D66" s="150"/>
      <c r="E66" s="95">
        <f t="shared" si="15"/>
        <v>0</v>
      </c>
      <c r="F66" s="74" t="e">
        <f t="shared" si="13"/>
        <v>#DIV/0!</v>
      </c>
      <c r="G66" s="95">
        <f t="shared" si="16"/>
        <v>0</v>
      </c>
      <c r="H66" s="96" t="e">
        <f t="shared" si="14"/>
        <v>#DIV/0!</v>
      </c>
      <c r="I66" s="85"/>
      <c r="J66" s="98"/>
      <c r="K66" s="98"/>
      <c r="L66" s="98"/>
      <c r="M66" s="95">
        <f t="shared" si="17"/>
        <v>0</v>
      </c>
      <c r="N66" s="96"/>
      <c r="O66" s="95">
        <f t="shared" si="18"/>
        <v>0</v>
      </c>
      <c r="P66" s="96"/>
      <c r="Q66" s="157"/>
    </row>
    <row r="67" spans="1:17" s="61" customFormat="1" ht="32.25" customHeight="1" hidden="1">
      <c r="A67" s="85" t="s">
        <v>105</v>
      </c>
      <c r="B67" s="150"/>
      <c r="C67" s="150"/>
      <c r="D67" s="150"/>
      <c r="E67" s="95">
        <f t="shared" si="15"/>
        <v>0</v>
      </c>
      <c r="F67" s="74" t="e">
        <f aca="true" t="shared" si="19" ref="F67:F96">ROUND(E67/B67*100,2)</f>
        <v>#DIV/0!</v>
      </c>
      <c r="G67" s="95">
        <f t="shared" si="16"/>
        <v>0</v>
      </c>
      <c r="H67" s="96" t="e">
        <f aca="true" t="shared" si="20" ref="H67:H96">ROUND(G67/C67*100,2)</f>
        <v>#DIV/0!</v>
      </c>
      <c r="I67" s="85"/>
      <c r="J67" s="98"/>
      <c r="K67" s="98"/>
      <c r="L67" s="98"/>
      <c r="M67" s="95">
        <f t="shared" si="17"/>
        <v>0</v>
      </c>
      <c r="N67" s="96"/>
      <c r="O67" s="95">
        <f t="shared" si="18"/>
        <v>0</v>
      </c>
      <c r="P67" s="96"/>
      <c r="Q67" s="157"/>
    </row>
    <row r="68" spans="1:17" s="61" customFormat="1" ht="32.25" customHeight="1" hidden="1">
      <c r="A68" s="85" t="s">
        <v>106</v>
      </c>
      <c r="B68" s="150"/>
      <c r="C68" s="150">
        <v>147</v>
      </c>
      <c r="D68" s="150"/>
      <c r="E68" s="95">
        <f t="shared" si="15"/>
        <v>0</v>
      </c>
      <c r="F68" s="74" t="e">
        <f t="shared" si="19"/>
        <v>#DIV/0!</v>
      </c>
      <c r="G68" s="95">
        <f t="shared" si="16"/>
        <v>-147</v>
      </c>
      <c r="H68" s="96">
        <f t="shared" si="20"/>
        <v>-100</v>
      </c>
      <c r="I68" s="85"/>
      <c r="J68" s="98"/>
      <c r="K68" s="98"/>
      <c r="L68" s="98"/>
      <c r="M68" s="95">
        <f t="shared" si="17"/>
        <v>0</v>
      </c>
      <c r="N68" s="96"/>
      <c r="O68" s="95">
        <f t="shared" si="18"/>
        <v>0</v>
      </c>
      <c r="P68" s="96"/>
      <c r="Q68" s="157"/>
    </row>
    <row r="69" spans="1:17" s="61" customFormat="1" ht="32.25" customHeight="1" hidden="1">
      <c r="A69" s="85" t="s">
        <v>107</v>
      </c>
      <c r="B69" s="150"/>
      <c r="C69" s="150"/>
      <c r="D69" s="150"/>
      <c r="E69" s="95">
        <f t="shared" si="15"/>
        <v>0</v>
      </c>
      <c r="F69" s="74" t="e">
        <f t="shared" si="19"/>
        <v>#DIV/0!</v>
      </c>
      <c r="G69" s="95">
        <f t="shared" si="16"/>
        <v>0</v>
      </c>
      <c r="H69" s="96" t="e">
        <f t="shared" si="20"/>
        <v>#DIV/0!</v>
      </c>
      <c r="I69" s="85"/>
      <c r="J69" s="98"/>
      <c r="K69" s="98"/>
      <c r="L69" s="98"/>
      <c r="M69" s="95">
        <f t="shared" si="17"/>
        <v>0</v>
      </c>
      <c r="N69" s="96"/>
      <c r="O69" s="95">
        <f t="shared" si="18"/>
        <v>0</v>
      </c>
      <c r="P69" s="96"/>
      <c r="Q69" s="157"/>
    </row>
    <row r="70" spans="1:17" s="61" customFormat="1" ht="32.25" customHeight="1">
      <c r="A70" s="85" t="s">
        <v>108</v>
      </c>
      <c r="B70" s="150">
        <f>SUM(B71:B74)</f>
        <v>0</v>
      </c>
      <c r="C70" s="150">
        <f>SUM(C71:C74)</f>
        <v>1989</v>
      </c>
      <c r="D70" s="150"/>
      <c r="E70" s="95">
        <f t="shared" si="15"/>
        <v>0</v>
      </c>
      <c r="F70" s="74" t="e">
        <f t="shared" si="19"/>
        <v>#DIV/0!</v>
      </c>
      <c r="G70" s="95">
        <f t="shared" si="16"/>
        <v>-1989</v>
      </c>
      <c r="H70" s="96">
        <f t="shared" si="20"/>
        <v>-100</v>
      </c>
      <c r="I70" s="85"/>
      <c r="J70" s="98"/>
      <c r="K70" s="98"/>
      <c r="L70" s="98"/>
      <c r="M70" s="95">
        <f t="shared" si="17"/>
        <v>0</v>
      </c>
      <c r="N70" s="96"/>
      <c r="O70" s="95">
        <f t="shared" si="18"/>
        <v>0</v>
      </c>
      <c r="P70" s="96"/>
      <c r="Q70" s="157"/>
    </row>
    <row r="71" spans="1:17" s="61" customFormat="1" ht="32.25" customHeight="1" hidden="1">
      <c r="A71" s="85" t="s">
        <v>109</v>
      </c>
      <c r="B71" s="150"/>
      <c r="C71" s="150">
        <v>1894</v>
      </c>
      <c r="D71" s="150"/>
      <c r="E71" s="95">
        <f t="shared" si="15"/>
        <v>0</v>
      </c>
      <c r="F71" s="96" t="e">
        <f t="shared" si="19"/>
        <v>#DIV/0!</v>
      </c>
      <c r="G71" s="95">
        <f t="shared" si="16"/>
        <v>-1894</v>
      </c>
      <c r="H71" s="96">
        <f t="shared" si="20"/>
        <v>-100</v>
      </c>
      <c r="I71" s="85"/>
      <c r="J71" s="98"/>
      <c r="K71" s="98"/>
      <c r="L71" s="98"/>
      <c r="M71" s="95">
        <f t="shared" si="17"/>
        <v>0</v>
      </c>
      <c r="N71" s="96"/>
      <c r="O71" s="95">
        <f t="shared" si="18"/>
        <v>0</v>
      </c>
      <c r="P71" s="96"/>
      <c r="Q71" s="157"/>
    </row>
    <row r="72" spans="1:17" s="61" customFormat="1" ht="32.25" customHeight="1" hidden="1">
      <c r="A72" s="85" t="s">
        <v>110</v>
      </c>
      <c r="B72" s="150"/>
      <c r="C72" s="150">
        <v>95</v>
      </c>
      <c r="D72" s="150"/>
      <c r="E72" s="95">
        <f t="shared" si="15"/>
        <v>0</v>
      </c>
      <c r="F72" s="96" t="e">
        <f t="shared" si="19"/>
        <v>#DIV/0!</v>
      </c>
      <c r="G72" s="95">
        <f t="shared" si="16"/>
        <v>-95</v>
      </c>
      <c r="H72" s="96">
        <f t="shared" si="20"/>
        <v>-100</v>
      </c>
      <c r="I72" s="85"/>
      <c r="J72" s="98"/>
      <c r="K72" s="98"/>
      <c r="L72" s="98"/>
      <c r="M72" s="95">
        <f t="shared" si="17"/>
        <v>0</v>
      </c>
      <c r="N72" s="96"/>
      <c r="O72" s="95">
        <f t="shared" si="18"/>
        <v>0</v>
      </c>
      <c r="P72" s="96"/>
      <c r="Q72" s="157"/>
    </row>
    <row r="73" spans="1:17" s="61" customFormat="1" ht="32.25" customHeight="1" hidden="1">
      <c r="A73" s="85" t="s">
        <v>111</v>
      </c>
      <c r="B73" s="150"/>
      <c r="C73" s="150"/>
      <c r="D73" s="150"/>
      <c r="E73" s="95">
        <f t="shared" si="15"/>
        <v>0</v>
      </c>
      <c r="F73" s="96" t="e">
        <f t="shared" si="19"/>
        <v>#DIV/0!</v>
      </c>
      <c r="G73" s="95">
        <f t="shared" si="16"/>
        <v>0</v>
      </c>
      <c r="H73" s="96" t="e">
        <f t="shared" si="20"/>
        <v>#DIV/0!</v>
      </c>
      <c r="I73" s="85"/>
      <c r="J73" s="98"/>
      <c r="K73" s="98"/>
      <c r="L73" s="98"/>
      <c r="M73" s="95">
        <f t="shared" si="17"/>
        <v>0</v>
      </c>
      <c r="N73" s="96"/>
      <c r="O73" s="95">
        <f t="shared" si="18"/>
        <v>0</v>
      </c>
      <c r="P73" s="96"/>
      <c r="Q73" s="157"/>
    </row>
    <row r="74" spans="1:17" s="61" customFormat="1" ht="32.25" customHeight="1" hidden="1">
      <c r="A74" s="85" t="s">
        <v>112</v>
      </c>
      <c r="B74" s="150"/>
      <c r="C74" s="150"/>
      <c r="D74" s="150"/>
      <c r="E74" s="95">
        <f aca="true" t="shared" si="21" ref="E74:E104">D74-B74</f>
        <v>0</v>
      </c>
      <c r="F74" s="96" t="e">
        <f t="shared" si="19"/>
        <v>#DIV/0!</v>
      </c>
      <c r="G74" s="95">
        <f aca="true" t="shared" si="22" ref="G74:G104">D74-C74</f>
        <v>0</v>
      </c>
      <c r="H74" s="96" t="e">
        <f t="shared" si="20"/>
        <v>#DIV/0!</v>
      </c>
      <c r="I74" s="85"/>
      <c r="J74" s="98"/>
      <c r="K74" s="98"/>
      <c r="L74" s="98"/>
      <c r="M74" s="95">
        <f t="shared" si="17"/>
        <v>0</v>
      </c>
      <c r="N74" s="96"/>
      <c r="O74" s="95">
        <f t="shared" si="18"/>
        <v>0</v>
      </c>
      <c r="P74" s="96"/>
      <c r="Q74" s="157"/>
    </row>
    <row r="75" spans="1:17" s="62" customFormat="1" ht="32.25" customHeight="1">
      <c r="A75" s="67" t="s">
        <v>113</v>
      </c>
      <c r="B75" s="101">
        <v>2100</v>
      </c>
      <c r="C75" s="101">
        <v>2244</v>
      </c>
      <c r="D75" s="68">
        <v>2100</v>
      </c>
      <c r="E75" s="66">
        <f t="shared" si="21"/>
        <v>0</v>
      </c>
      <c r="F75" s="70">
        <f t="shared" si="19"/>
        <v>0</v>
      </c>
      <c r="G75" s="66">
        <f t="shared" si="22"/>
        <v>-144</v>
      </c>
      <c r="H75" s="70">
        <f t="shared" si="20"/>
        <v>-6.42</v>
      </c>
      <c r="I75" s="67"/>
      <c r="J75" s="68"/>
      <c r="K75" s="68"/>
      <c r="L75" s="68"/>
      <c r="M75" s="66">
        <f t="shared" si="17"/>
        <v>0</v>
      </c>
      <c r="N75" s="161"/>
      <c r="O75" s="66">
        <f t="shared" si="18"/>
        <v>0</v>
      </c>
      <c r="P75" s="161"/>
      <c r="Q75" s="172"/>
    </row>
    <row r="76" spans="1:16" ht="32.25" customHeight="1">
      <c r="A76" s="158" t="s">
        <v>114</v>
      </c>
      <c r="B76" s="101">
        <f>SUM(B77,B78,B86,B87,B88,B89,B91,B84)</f>
        <v>6853</v>
      </c>
      <c r="C76" s="101">
        <f>SUM(C77,C78,C84,C85,C86,C87,C88,C89,C91,C90)</f>
        <v>8181</v>
      </c>
      <c r="D76" s="101">
        <f>SUM(D77,D78,D84,D85,D86,D87,D88,D89,D91,D90)</f>
        <v>7277</v>
      </c>
      <c r="E76" s="66">
        <f t="shared" si="21"/>
        <v>424</v>
      </c>
      <c r="F76" s="70">
        <f t="shared" si="19"/>
        <v>6.19</v>
      </c>
      <c r="G76" s="66">
        <f t="shared" si="22"/>
        <v>-904</v>
      </c>
      <c r="H76" s="70">
        <f t="shared" si="20"/>
        <v>-11.05</v>
      </c>
      <c r="I76" s="67"/>
      <c r="J76" s="68"/>
      <c r="K76" s="68"/>
      <c r="L76" s="68"/>
      <c r="M76" s="66">
        <f t="shared" si="17"/>
        <v>0</v>
      </c>
      <c r="N76" s="70"/>
      <c r="O76" s="66">
        <f t="shared" si="18"/>
        <v>0</v>
      </c>
      <c r="P76" s="70"/>
    </row>
    <row r="77" spans="1:16" ht="35.25" customHeight="1" hidden="1">
      <c r="A77" s="67" t="s">
        <v>115</v>
      </c>
      <c r="B77" s="68">
        <v>862</v>
      </c>
      <c r="C77" s="68">
        <v>862</v>
      </c>
      <c r="D77" s="68">
        <v>862</v>
      </c>
      <c r="E77" s="66">
        <f t="shared" si="21"/>
        <v>0</v>
      </c>
      <c r="F77" s="70">
        <f t="shared" si="19"/>
        <v>0</v>
      </c>
      <c r="G77" s="66">
        <f t="shared" si="22"/>
        <v>0</v>
      </c>
      <c r="H77" s="70">
        <f t="shared" si="20"/>
        <v>0</v>
      </c>
      <c r="I77" s="67"/>
      <c r="J77" s="68"/>
      <c r="K77" s="68"/>
      <c r="L77" s="68"/>
      <c r="M77" s="66">
        <f t="shared" si="17"/>
        <v>0</v>
      </c>
      <c r="N77" s="70"/>
      <c r="O77" s="66">
        <f t="shared" si="18"/>
        <v>0</v>
      </c>
      <c r="P77" s="70"/>
    </row>
    <row r="78" spans="1:16" ht="35.25" customHeight="1" hidden="1">
      <c r="A78" s="67" t="s">
        <v>116</v>
      </c>
      <c r="B78" s="68">
        <f>SUM(B79:B83)</f>
        <v>350</v>
      </c>
      <c r="C78" s="68">
        <f>SUM(C79:C83)</f>
        <v>1942</v>
      </c>
      <c r="D78" s="68">
        <f>SUM(D79:D83)</f>
        <v>1416</v>
      </c>
      <c r="E78" s="66">
        <f t="shared" si="21"/>
        <v>1066</v>
      </c>
      <c r="F78" s="70">
        <f t="shared" si="19"/>
        <v>304.57</v>
      </c>
      <c r="G78" s="66">
        <f t="shared" si="22"/>
        <v>-526</v>
      </c>
      <c r="H78" s="70">
        <f t="shared" si="20"/>
        <v>-27.09</v>
      </c>
      <c r="I78" s="91"/>
      <c r="J78" s="66">
        <f>SUM(J79:J91)</f>
        <v>0</v>
      </c>
      <c r="K78" s="68"/>
      <c r="L78" s="68"/>
      <c r="M78" s="66">
        <f t="shared" si="17"/>
        <v>0</v>
      </c>
      <c r="N78" s="70"/>
      <c r="O78" s="66">
        <f t="shared" si="18"/>
        <v>0</v>
      </c>
      <c r="P78" s="70"/>
    </row>
    <row r="79" spans="1:16" ht="35.25" customHeight="1" hidden="1">
      <c r="A79" s="67" t="s">
        <v>117</v>
      </c>
      <c r="B79" s="92">
        <v>200</v>
      </c>
      <c r="C79" s="68">
        <v>1041</v>
      </c>
      <c r="D79" s="68"/>
      <c r="E79" s="66">
        <f t="shared" si="21"/>
        <v>-200</v>
      </c>
      <c r="F79" s="70">
        <f t="shared" si="19"/>
        <v>-100</v>
      </c>
      <c r="G79" s="66">
        <f t="shared" si="22"/>
        <v>-1041</v>
      </c>
      <c r="H79" s="70">
        <f t="shared" si="20"/>
        <v>-100</v>
      </c>
      <c r="I79" s="67"/>
      <c r="J79" s="68"/>
      <c r="K79" s="68"/>
      <c r="L79" s="68"/>
      <c r="M79" s="66">
        <f t="shared" si="17"/>
        <v>0</v>
      </c>
      <c r="N79" s="70"/>
      <c r="O79" s="66">
        <f t="shared" si="18"/>
        <v>0</v>
      </c>
      <c r="P79" s="70"/>
    </row>
    <row r="80" spans="1:16" ht="35.25" customHeight="1" hidden="1">
      <c r="A80" s="67" t="s">
        <v>118</v>
      </c>
      <c r="B80" s="68"/>
      <c r="C80" s="68">
        <v>751</v>
      </c>
      <c r="D80" s="68">
        <v>1266</v>
      </c>
      <c r="E80" s="66">
        <f t="shared" si="21"/>
        <v>1266</v>
      </c>
      <c r="F80" s="70" t="e">
        <f t="shared" si="19"/>
        <v>#DIV/0!</v>
      </c>
      <c r="G80" s="66">
        <f t="shared" si="22"/>
        <v>515</v>
      </c>
      <c r="H80" s="70">
        <f t="shared" si="20"/>
        <v>68.58</v>
      </c>
      <c r="I80" s="67"/>
      <c r="J80" s="68"/>
      <c r="K80" s="68"/>
      <c r="L80" s="68"/>
      <c r="M80" s="66">
        <f t="shared" si="17"/>
        <v>0</v>
      </c>
      <c r="N80" s="70"/>
      <c r="O80" s="66">
        <f t="shared" si="18"/>
        <v>0</v>
      </c>
      <c r="P80" s="70"/>
    </row>
    <row r="81" spans="1:16" ht="35.25" customHeight="1" hidden="1">
      <c r="A81" s="85" t="s">
        <v>119</v>
      </c>
      <c r="B81" s="68"/>
      <c r="C81" s="68"/>
      <c r="D81" s="68"/>
      <c r="E81" s="66">
        <f t="shared" si="21"/>
        <v>0</v>
      </c>
      <c r="F81" s="70" t="e">
        <f t="shared" si="19"/>
        <v>#DIV/0!</v>
      </c>
      <c r="G81" s="66">
        <f t="shared" si="22"/>
        <v>0</v>
      </c>
      <c r="H81" s="70" t="e">
        <f t="shared" si="20"/>
        <v>#DIV/0!</v>
      </c>
      <c r="I81" s="67"/>
      <c r="J81" s="68"/>
      <c r="K81" s="68"/>
      <c r="L81" s="68"/>
      <c r="M81" s="66"/>
      <c r="N81" s="70"/>
      <c r="O81" s="66"/>
      <c r="P81" s="70"/>
    </row>
    <row r="82" spans="1:16" ht="35.25" customHeight="1" hidden="1">
      <c r="A82" s="67" t="s">
        <v>120</v>
      </c>
      <c r="B82" s="68">
        <v>100</v>
      </c>
      <c r="C82" s="101">
        <v>100</v>
      </c>
      <c r="D82" s="68">
        <v>100</v>
      </c>
      <c r="E82" s="66">
        <f t="shared" si="21"/>
        <v>0</v>
      </c>
      <c r="F82" s="70">
        <f t="shared" si="19"/>
        <v>0</v>
      </c>
      <c r="G82" s="66">
        <f t="shared" si="22"/>
        <v>0</v>
      </c>
      <c r="H82" s="70">
        <f t="shared" si="20"/>
        <v>0</v>
      </c>
      <c r="I82" s="67"/>
      <c r="J82" s="68"/>
      <c r="K82" s="68"/>
      <c r="L82" s="68"/>
      <c r="M82" s="66">
        <f aca="true" t="shared" si="23" ref="M82:M89">L82-J82</f>
        <v>0</v>
      </c>
      <c r="N82" s="70"/>
      <c r="O82" s="66">
        <f aca="true" t="shared" si="24" ref="O82:O89">L82-K82</f>
        <v>0</v>
      </c>
      <c r="P82" s="70"/>
    </row>
    <row r="83" spans="1:16" ht="35.25" customHeight="1" hidden="1">
      <c r="A83" s="67" t="s">
        <v>121</v>
      </c>
      <c r="B83" s="68">
        <v>50</v>
      </c>
      <c r="C83" s="68">
        <v>50</v>
      </c>
      <c r="D83" s="68">
        <v>50</v>
      </c>
      <c r="E83" s="66">
        <f t="shared" si="21"/>
        <v>0</v>
      </c>
      <c r="F83" s="70">
        <f t="shared" si="19"/>
        <v>0</v>
      </c>
      <c r="G83" s="66">
        <f t="shared" si="22"/>
        <v>0</v>
      </c>
      <c r="H83" s="70">
        <f t="shared" si="20"/>
        <v>0</v>
      </c>
      <c r="I83" s="67"/>
      <c r="J83" s="68"/>
      <c r="K83" s="68"/>
      <c r="L83" s="68"/>
      <c r="M83" s="66">
        <f t="shared" si="23"/>
        <v>0</v>
      </c>
      <c r="N83" s="70"/>
      <c r="O83" s="66">
        <f t="shared" si="24"/>
        <v>0</v>
      </c>
      <c r="P83" s="70"/>
    </row>
    <row r="84" spans="1:16" ht="35.25" customHeight="1" hidden="1">
      <c r="A84" s="67" t="s">
        <v>122</v>
      </c>
      <c r="B84" s="68">
        <v>139</v>
      </c>
      <c r="C84" s="68">
        <v>139</v>
      </c>
      <c r="D84" s="68">
        <v>139</v>
      </c>
      <c r="E84" s="66">
        <f t="shared" si="21"/>
        <v>0</v>
      </c>
      <c r="F84" s="70">
        <f t="shared" si="19"/>
        <v>0</v>
      </c>
      <c r="G84" s="66">
        <f t="shared" si="22"/>
        <v>0</v>
      </c>
      <c r="H84" s="70">
        <f t="shared" si="20"/>
        <v>0</v>
      </c>
      <c r="I84" s="67"/>
      <c r="J84" s="68"/>
      <c r="K84" s="68"/>
      <c r="L84" s="68"/>
      <c r="M84" s="66"/>
      <c r="N84" s="70"/>
      <c r="O84" s="66"/>
      <c r="P84" s="70"/>
    </row>
    <row r="85" spans="1:16" ht="35.25" customHeight="1" hidden="1">
      <c r="A85" s="85" t="s">
        <v>123</v>
      </c>
      <c r="B85" s="68"/>
      <c r="C85" s="68"/>
      <c r="D85" s="68"/>
      <c r="E85" s="66">
        <f t="shared" si="21"/>
        <v>0</v>
      </c>
      <c r="F85" s="70" t="e">
        <f t="shared" si="19"/>
        <v>#DIV/0!</v>
      </c>
      <c r="G85" s="66">
        <f t="shared" si="22"/>
        <v>0</v>
      </c>
      <c r="H85" s="70" t="e">
        <f t="shared" si="20"/>
        <v>#DIV/0!</v>
      </c>
      <c r="I85" s="67"/>
      <c r="J85" s="68"/>
      <c r="K85" s="68"/>
      <c r="L85" s="68"/>
      <c r="M85" s="66"/>
      <c r="N85" s="70"/>
      <c r="O85" s="66"/>
      <c r="P85" s="70"/>
    </row>
    <row r="86" spans="1:16" ht="35.25" customHeight="1" hidden="1">
      <c r="A86" s="67" t="s">
        <v>124</v>
      </c>
      <c r="B86" s="68">
        <v>97</v>
      </c>
      <c r="C86" s="101">
        <v>97</v>
      </c>
      <c r="D86" s="68">
        <v>97</v>
      </c>
      <c r="E86" s="66">
        <f t="shared" si="21"/>
        <v>0</v>
      </c>
      <c r="F86" s="70">
        <f t="shared" si="19"/>
        <v>0</v>
      </c>
      <c r="G86" s="66">
        <f t="shared" si="22"/>
        <v>0</v>
      </c>
      <c r="H86" s="70">
        <f t="shared" si="20"/>
        <v>0</v>
      </c>
      <c r="I86" s="67"/>
      <c r="J86" s="68"/>
      <c r="K86" s="68"/>
      <c r="L86" s="68"/>
      <c r="M86" s="66">
        <f t="shared" si="23"/>
        <v>0</v>
      </c>
      <c r="N86" s="70"/>
      <c r="O86" s="66">
        <f t="shared" si="24"/>
        <v>0</v>
      </c>
      <c r="P86" s="70"/>
    </row>
    <row r="87" spans="1:16" ht="35.25" customHeight="1" hidden="1">
      <c r="A87" s="67" t="s">
        <v>125</v>
      </c>
      <c r="B87" s="68">
        <v>520</v>
      </c>
      <c r="C87" s="68">
        <v>520</v>
      </c>
      <c r="D87" s="68">
        <v>520</v>
      </c>
      <c r="E87" s="66">
        <f t="shared" si="21"/>
        <v>0</v>
      </c>
      <c r="F87" s="70">
        <f t="shared" si="19"/>
        <v>0</v>
      </c>
      <c r="G87" s="66">
        <f t="shared" si="22"/>
        <v>0</v>
      </c>
      <c r="H87" s="70">
        <f t="shared" si="20"/>
        <v>0</v>
      </c>
      <c r="I87" s="67"/>
      <c r="J87" s="68"/>
      <c r="K87" s="68"/>
      <c r="L87" s="68"/>
      <c r="M87" s="66">
        <f t="shared" si="23"/>
        <v>0</v>
      </c>
      <c r="N87" s="70"/>
      <c r="O87" s="66">
        <f t="shared" si="24"/>
        <v>0</v>
      </c>
      <c r="P87" s="70"/>
    </row>
    <row r="88" spans="1:16" ht="35.25" customHeight="1" hidden="1">
      <c r="A88" s="67" t="s">
        <v>126</v>
      </c>
      <c r="B88" s="92">
        <v>1853</v>
      </c>
      <c r="C88" s="68">
        <v>1589</v>
      </c>
      <c r="D88" s="68">
        <v>1589</v>
      </c>
      <c r="E88" s="66">
        <f t="shared" si="21"/>
        <v>-264</v>
      </c>
      <c r="F88" s="70">
        <f t="shared" si="19"/>
        <v>-14.25</v>
      </c>
      <c r="G88" s="66">
        <f t="shared" si="22"/>
        <v>0</v>
      </c>
      <c r="H88" s="70">
        <f t="shared" si="20"/>
        <v>0</v>
      </c>
      <c r="I88" s="67"/>
      <c r="J88" s="68"/>
      <c r="K88" s="68"/>
      <c r="L88" s="68"/>
      <c r="M88" s="66">
        <f t="shared" si="23"/>
        <v>0</v>
      </c>
      <c r="N88" s="70"/>
      <c r="O88" s="66">
        <f t="shared" si="24"/>
        <v>0</v>
      </c>
      <c r="P88" s="70"/>
    </row>
    <row r="89" spans="1:16" ht="35.25" customHeight="1" hidden="1">
      <c r="A89" s="67" t="s">
        <v>127</v>
      </c>
      <c r="B89" s="92">
        <v>2032</v>
      </c>
      <c r="C89" s="68">
        <v>2032</v>
      </c>
      <c r="D89" s="68">
        <v>2654</v>
      </c>
      <c r="E89" s="66">
        <f t="shared" si="21"/>
        <v>622</v>
      </c>
      <c r="F89" s="70">
        <f t="shared" si="19"/>
        <v>30.61</v>
      </c>
      <c r="G89" s="66">
        <f t="shared" si="22"/>
        <v>622</v>
      </c>
      <c r="H89" s="70">
        <f t="shared" si="20"/>
        <v>30.61</v>
      </c>
      <c r="I89" s="67"/>
      <c r="J89" s="68"/>
      <c r="K89" s="68"/>
      <c r="L89" s="68"/>
      <c r="M89" s="66">
        <f t="shared" si="23"/>
        <v>0</v>
      </c>
      <c r="N89" s="70"/>
      <c r="O89" s="66">
        <f t="shared" si="24"/>
        <v>0</v>
      </c>
      <c r="P89" s="70"/>
    </row>
    <row r="90" spans="1:16" ht="35.25" customHeight="1" hidden="1">
      <c r="A90" s="85" t="s">
        <v>128</v>
      </c>
      <c r="B90" s="92"/>
      <c r="C90" s="68"/>
      <c r="D90" s="68"/>
      <c r="E90" s="66">
        <f t="shared" si="21"/>
        <v>0</v>
      </c>
      <c r="F90" s="70" t="e">
        <f t="shared" si="19"/>
        <v>#DIV/0!</v>
      </c>
      <c r="G90" s="66">
        <f t="shared" si="22"/>
        <v>0</v>
      </c>
      <c r="H90" s="70" t="e">
        <f t="shared" si="20"/>
        <v>#DIV/0!</v>
      </c>
      <c r="I90" s="67"/>
      <c r="J90" s="68"/>
      <c r="K90" s="68"/>
      <c r="L90" s="68"/>
      <c r="M90" s="66"/>
      <c r="N90" s="70"/>
      <c r="O90" s="66"/>
      <c r="P90" s="70"/>
    </row>
    <row r="91" spans="1:16" ht="35.25" customHeight="1" hidden="1">
      <c r="A91" s="67" t="s">
        <v>129</v>
      </c>
      <c r="B91" s="92">
        <v>1000</v>
      </c>
      <c r="C91" s="68">
        <v>1000</v>
      </c>
      <c r="D91" s="68"/>
      <c r="E91" s="66">
        <f t="shared" si="21"/>
        <v>-1000</v>
      </c>
      <c r="F91" s="70">
        <f t="shared" si="19"/>
        <v>-100</v>
      </c>
      <c r="G91" s="66">
        <f t="shared" si="22"/>
        <v>-1000</v>
      </c>
      <c r="H91" s="70">
        <f t="shared" si="20"/>
        <v>-100</v>
      </c>
      <c r="I91" s="67"/>
      <c r="J91" s="68"/>
      <c r="K91" s="68"/>
      <c r="L91" s="68"/>
      <c r="M91" s="66">
        <f aca="true" t="shared" si="25" ref="M91:M109">L91-J91</f>
        <v>0</v>
      </c>
      <c r="N91" s="70"/>
      <c r="O91" s="66">
        <f aca="true" t="shared" si="26" ref="O91:O109">L91-K91</f>
        <v>0</v>
      </c>
      <c r="P91" s="70"/>
    </row>
    <row r="92" spans="1:17" s="59" customFormat="1" ht="32.25" customHeight="1">
      <c r="A92" s="81" t="s">
        <v>130</v>
      </c>
      <c r="B92" s="78">
        <v>10000</v>
      </c>
      <c r="C92" s="78">
        <v>9700</v>
      </c>
      <c r="D92" s="78">
        <v>12600</v>
      </c>
      <c r="E92" s="79">
        <f t="shared" si="21"/>
        <v>2600</v>
      </c>
      <c r="F92" s="93">
        <f t="shared" si="19"/>
        <v>26</v>
      </c>
      <c r="G92" s="79">
        <f t="shared" si="22"/>
        <v>2900</v>
      </c>
      <c r="H92" s="80">
        <f t="shared" si="20"/>
        <v>29.9</v>
      </c>
      <c r="I92" s="82" t="s">
        <v>131</v>
      </c>
      <c r="J92" s="79">
        <v>300</v>
      </c>
      <c r="K92" s="78">
        <v>600</v>
      </c>
      <c r="L92" s="79">
        <v>300</v>
      </c>
      <c r="M92" s="79">
        <f t="shared" si="25"/>
        <v>0</v>
      </c>
      <c r="N92" s="80">
        <f>ROUND(M92/J92*100,2)</f>
        <v>0</v>
      </c>
      <c r="O92" s="79">
        <f t="shared" si="26"/>
        <v>-300</v>
      </c>
      <c r="P92" s="80">
        <f>ROUND(O92/K92*100,2)</f>
        <v>-50</v>
      </c>
      <c r="Q92" s="155"/>
    </row>
    <row r="93" spans="1:17" s="59" customFormat="1" ht="32.25" customHeight="1">
      <c r="A93" s="82" t="s">
        <v>132</v>
      </c>
      <c r="B93" s="79">
        <v>148</v>
      </c>
      <c r="C93" s="79">
        <v>3927</v>
      </c>
      <c r="D93" s="79">
        <v>1415</v>
      </c>
      <c r="E93" s="79">
        <f t="shared" si="21"/>
        <v>1267</v>
      </c>
      <c r="F93" s="80">
        <f t="shared" si="19"/>
        <v>856.08</v>
      </c>
      <c r="G93" s="79">
        <f t="shared" si="22"/>
        <v>-2512</v>
      </c>
      <c r="H93" s="80">
        <f t="shared" si="20"/>
        <v>-63.97</v>
      </c>
      <c r="I93" s="81" t="s">
        <v>133</v>
      </c>
      <c r="J93" s="78"/>
      <c r="K93" s="79"/>
      <c r="L93" s="78"/>
      <c r="M93" s="79">
        <f t="shared" si="25"/>
        <v>0</v>
      </c>
      <c r="N93" s="80"/>
      <c r="O93" s="79">
        <f t="shared" si="26"/>
        <v>0</v>
      </c>
      <c r="P93" s="80"/>
      <c r="Q93" s="155"/>
    </row>
    <row r="94" spans="1:16" ht="32.25" customHeight="1">
      <c r="A94" s="91" t="s">
        <v>134</v>
      </c>
      <c r="B94" s="68">
        <v>148</v>
      </c>
      <c r="C94" s="68">
        <v>3927</v>
      </c>
      <c r="D94" s="68">
        <v>148</v>
      </c>
      <c r="E94" s="66">
        <f t="shared" si="21"/>
        <v>0</v>
      </c>
      <c r="F94" s="70">
        <f t="shared" si="19"/>
        <v>0</v>
      </c>
      <c r="G94" s="66">
        <f t="shared" si="22"/>
        <v>-3779</v>
      </c>
      <c r="H94" s="70">
        <f t="shared" si="20"/>
        <v>-96.23</v>
      </c>
      <c r="I94" s="81" t="s">
        <v>135</v>
      </c>
      <c r="J94" s="79">
        <v>148</v>
      </c>
      <c r="K94" s="78">
        <v>1415</v>
      </c>
      <c r="L94" s="79">
        <f>SUM(L95:L96)</f>
        <v>148</v>
      </c>
      <c r="M94" s="79">
        <f t="shared" si="25"/>
        <v>0</v>
      </c>
      <c r="N94" s="80">
        <f>ROUND(M94/J94*100,2)</f>
        <v>0</v>
      </c>
      <c r="O94" s="79">
        <f t="shared" si="26"/>
        <v>-1267</v>
      </c>
      <c r="P94" s="80">
        <f aca="true" t="shared" si="27" ref="P94:P109">ROUND(O94/K94*100,2)</f>
        <v>-89.54</v>
      </c>
    </row>
    <row r="95" spans="1:17" s="59" customFormat="1" ht="32.25" customHeight="1">
      <c r="A95" s="82" t="s">
        <v>136</v>
      </c>
      <c r="B95" s="78"/>
      <c r="C95" s="78"/>
      <c r="D95" s="78">
        <v>5522</v>
      </c>
      <c r="E95" s="79">
        <f t="shared" si="21"/>
        <v>5522</v>
      </c>
      <c r="F95" s="93" t="e">
        <f t="shared" si="19"/>
        <v>#DIV/0!</v>
      </c>
      <c r="G95" s="79">
        <f t="shared" si="22"/>
        <v>5522</v>
      </c>
      <c r="H95" s="74" t="e">
        <f t="shared" si="20"/>
        <v>#DIV/0!</v>
      </c>
      <c r="I95" s="158" t="s">
        <v>137</v>
      </c>
      <c r="J95" s="68"/>
      <c r="K95" s="68">
        <f>K94-K96</f>
        <v>1267</v>
      </c>
      <c r="L95" s="68"/>
      <c r="M95" s="66">
        <f t="shared" si="25"/>
        <v>0</v>
      </c>
      <c r="N95" s="70"/>
      <c r="O95" s="66">
        <f t="shared" si="26"/>
        <v>-1267</v>
      </c>
      <c r="P95" s="70">
        <f t="shared" si="27"/>
        <v>-100</v>
      </c>
      <c r="Q95" s="155"/>
    </row>
    <row r="96" spans="1:241" s="5" customFormat="1" ht="35.25" customHeight="1">
      <c r="A96" s="82" t="s">
        <v>138</v>
      </c>
      <c r="B96" s="78"/>
      <c r="C96" s="78"/>
      <c r="D96" s="78">
        <v>638</v>
      </c>
      <c r="E96" s="79">
        <f t="shared" si="21"/>
        <v>638</v>
      </c>
      <c r="F96" s="93" t="e">
        <f t="shared" si="19"/>
        <v>#DIV/0!</v>
      </c>
      <c r="G96" s="79">
        <f t="shared" si="22"/>
        <v>638</v>
      </c>
      <c r="H96" s="93" t="e">
        <f t="shared" si="20"/>
        <v>#DIV/0!</v>
      </c>
      <c r="I96" s="81" t="s">
        <v>139</v>
      </c>
      <c r="J96" s="78">
        <v>148</v>
      </c>
      <c r="K96" s="79">
        <v>148</v>
      </c>
      <c r="L96" s="78">
        <v>148</v>
      </c>
      <c r="M96" s="79">
        <f t="shared" si="25"/>
        <v>0</v>
      </c>
      <c r="N96" s="80">
        <f aca="true" t="shared" si="28" ref="N96:N109">ROUND(M96/J96*100,2)</f>
        <v>0</v>
      </c>
      <c r="O96" s="79">
        <f t="shared" si="26"/>
        <v>0</v>
      </c>
      <c r="P96" s="80">
        <f t="shared" si="27"/>
        <v>0</v>
      </c>
      <c r="Q96" s="155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</row>
    <row r="97" spans="1:17" s="59" customFormat="1" ht="32.25" customHeight="1">
      <c r="A97" s="78" t="s">
        <v>140</v>
      </c>
      <c r="B97" s="79">
        <f>B95+B93+B33+B31+B92+B96</f>
        <v>69042</v>
      </c>
      <c r="C97" s="79">
        <f>C95+C93+C33+C31+C92+C96</f>
        <v>77095</v>
      </c>
      <c r="D97" s="79">
        <f>D95+D93+D33+D31+D92+D96</f>
        <v>80400</v>
      </c>
      <c r="E97" s="79">
        <f t="shared" si="21"/>
        <v>11358</v>
      </c>
      <c r="F97" s="80">
        <f aca="true" t="shared" si="29" ref="F97:F121">ROUND(E97/B97*100,2)</f>
        <v>16.45</v>
      </c>
      <c r="G97" s="79">
        <f t="shared" si="22"/>
        <v>3305</v>
      </c>
      <c r="H97" s="80">
        <f aca="true" t="shared" si="30" ref="H97:H121">ROUND(G97/C97*100,2)</f>
        <v>4.29</v>
      </c>
      <c r="I97" s="78" t="s">
        <v>141</v>
      </c>
      <c r="J97" s="79">
        <f>J31+J33+J93+J94+J92</f>
        <v>69042</v>
      </c>
      <c r="K97" s="79">
        <f>K31+K33+K93+K94+K92+K34</f>
        <v>77095</v>
      </c>
      <c r="L97" s="79">
        <f>L31+L33+L93+L94+L92+L34</f>
        <v>80400</v>
      </c>
      <c r="M97" s="79">
        <f t="shared" si="25"/>
        <v>11358</v>
      </c>
      <c r="N97" s="80">
        <f t="shared" si="28"/>
        <v>16.45</v>
      </c>
      <c r="O97" s="79">
        <f t="shared" si="26"/>
        <v>3305</v>
      </c>
      <c r="P97" s="80">
        <f t="shared" si="27"/>
        <v>4.29</v>
      </c>
      <c r="Q97" s="155"/>
    </row>
    <row r="98" spans="1:16" ht="21.75" customHeight="1" hidden="1">
      <c r="A98" s="102" t="s">
        <v>142</v>
      </c>
      <c r="B98" s="103">
        <f>SUM(B99:B101)</f>
        <v>23985</v>
      </c>
      <c r="C98" s="103">
        <f>SUM(C99:C101)</f>
        <v>21180</v>
      </c>
      <c r="D98" s="103">
        <f>SUM(D99:D101)</f>
        <v>17565.5</v>
      </c>
      <c r="E98" s="104">
        <f t="shared" si="21"/>
        <v>-6419.5</v>
      </c>
      <c r="F98" s="105">
        <f t="shared" si="29"/>
        <v>-26.76</v>
      </c>
      <c r="G98" s="104">
        <f t="shared" si="22"/>
        <v>-3614.5</v>
      </c>
      <c r="H98" s="105">
        <f t="shared" si="30"/>
        <v>-17.07</v>
      </c>
      <c r="I98" s="162" t="s">
        <v>143</v>
      </c>
      <c r="J98" s="103">
        <f>SUM(J99,J104,J105)</f>
        <v>36592</v>
      </c>
      <c r="K98" s="103">
        <f>SUM(K99,K104,K105)</f>
        <v>44421</v>
      </c>
      <c r="L98" s="103">
        <f>SUM(L99,L104,L105)</f>
        <v>49135</v>
      </c>
      <c r="M98" s="104">
        <f t="shared" si="25"/>
        <v>12543</v>
      </c>
      <c r="N98" s="105">
        <f t="shared" si="28"/>
        <v>34.28</v>
      </c>
      <c r="O98" s="104">
        <f t="shared" si="26"/>
        <v>4714</v>
      </c>
      <c r="P98" s="105">
        <f t="shared" si="27"/>
        <v>10.61</v>
      </c>
    </row>
    <row r="99" spans="1:16" ht="21.75" customHeight="1" hidden="1">
      <c r="A99" s="102" t="s">
        <v>144</v>
      </c>
      <c r="B99" s="159">
        <f>B9*3</f>
        <v>15900</v>
      </c>
      <c r="C99" s="159">
        <f>(C9-42)*3</f>
        <v>13587</v>
      </c>
      <c r="D99" s="103">
        <f>(D9-800)*3</f>
        <v>10740</v>
      </c>
      <c r="E99" s="104">
        <f t="shared" si="21"/>
        <v>-5160</v>
      </c>
      <c r="F99" s="105">
        <f t="shared" si="29"/>
        <v>-32.45</v>
      </c>
      <c r="G99" s="104">
        <f t="shared" si="22"/>
        <v>-2847</v>
      </c>
      <c r="H99" s="105">
        <f t="shared" si="30"/>
        <v>-20.95</v>
      </c>
      <c r="I99" s="163" t="s">
        <v>145</v>
      </c>
      <c r="J99" s="103">
        <f>SUM(J100:J103)</f>
        <v>23554</v>
      </c>
      <c r="K99" s="103">
        <f>SUM(K100:K103)</f>
        <v>29295</v>
      </c>
      <c r="L99" s="103">
        <f>SUM(L100:L103)</f>
        <v>32644</v>
      </c>
      <c r="M99" s="104">
        <f t="shared" si="25"/>
        <v>9090</v>
      </c>
      <c r="N99" s="105">
        <f t="shared" si="28"/>
        <v>38.59</v>
      </c>
      <c r="O99" s="104">
        <f t="shared" si="26"/>
        <v>3349</v>
      </c>
      <c r="P99" s="105">
        <f t="shared" si="27"/>
        <v>11.43</v>
      </c>
    </row>
    <row r="100" spans="1:16" ht="21.75" customHeight="1" hidden="1">
      <c r="A100" s="102" t="s">
        <v>146</v>
      </c>
      <c r="B100" s="103">
        <f>B11*1.5</f>
        <v>6075</v>
      </c>
      <c r="C100" s="103">
        <f>C11*1.5</f>
        <v>5937</v>
      </c>
      <c r="D100" s="103">
        <f>D11*1.5</f>
        <v>5053.5</v>
      </c>
      <c r="E100" s="104">
        <f t="shared" si="21"/>
        <v>-1021.5</v>
      </c>
      <c r="F100" s="105">
        <f t="shared" si="29"/>
        <v>-16.81</v>
      </c>
      <c r="G100" s="104">
        <f t="shared" si="22"/>
        <v>-883.5</v>
      </c>
      <c r="H100" s="105">
        <f t="shared" si="30"/>
        <v>-14.88</v>
      </c>
      <c r="I100" s="164" t="s">
        <v>147</v>
      </c>
      <c r="J100" s="103">
        <f aca="true" t="shared" si="31" ref="J100:L101">J11</f>
        <v>13164</v>
      </c>
      <c r="K100" s="103">
        <f t="shared" si="31"/>
        <v>18773</v>
      </c>
      <c r="L100" s="103">
        <f t="shared" si="31"/>
        <v>20980</v>
      </c>
      <c r="M100" s="104">
        <f t="shared" si="25"/>
        <v>7816</v>
      </c>
      <c r="N100" s="105">
        <f t="shared" si="28"/>
        <v>59.37</v>
      </c>
      <c r="O100" s="104">
        <f t="shared" si="26"/>
        <v>2207</v>
      </c>
      <c r="P100" s="105">
        <f t="shared" si="27"/>
        <v>11.76</v>
      </c>
    </row>
    <row r="101" spans="1:16" ht="21.75" customHeight="1" hidden="1">
      <c r="A101" s="102" t="s">
        <v>148</v>
      </c>
      <c r="B101" s="103">
        <f>B12*1.5</f>
        <v>2010</v>
      </c>
      <c r="C101" s="103">
        <f>C12*1.5</f>
        <v>1656</v>
      </c>
      <c r="D101" s="103">
        <f>ROUND(D12*1.5,0)</f>
        <v>1772</v>
      </c>
      <c r="E101" s="104">
        <f t="shared" si="21"/>
        <v>-238</v>
      </c>
      <c r="F101" s="105">
        <f t="shared" si="29"/>
        <v>-11.84</v>
      </c>
      <c r="G101" s="104">
        <f t="shared" si="22"/>
        <v>116</v>
      </c>
      <c r="H101" s="105">
        <f t="shared" si="30"/>
        <v>7</v>
      </c>
      <c r="I101" s="164" t="s">
        <v>149</v>
      </c>
      <c r="J101" s="103">
        <f t="shared" si="31"/>
        <v>714</v>
      </c>
      <c r="K101" s="103">
        <f t="shared" si="31"/>
        <v>1235</v>
      </c>
      <c r="L101" s="103">
        <f t="shared" si="31"/>
        <v>1333</v>
      </c>
      <c r="M101" s="104">
        <f t="shared" si="25"/>
        <v>619</v>
      </c>
      <c r="N101" s="105">
        <f t="shared" si="28"/>
        <v>86.69</v>
      </c>
      <c r="O101" s="104">
        <f t="shared" si="26"/>
        <v>98</v>
      </c>
      <c r="P101" s="105">
        <f t="shared" si="27"/>
        <v>7.94</v>
      </c>
    </row>
    <row r="102" spans="1:16" ht="21.75" customHeight="1" hidden="1">
      <c r="A102" s="102"/>
      <c r="B102" s="103"/>
      <c r="C102" s="103"/>
      <c r="D102" s="103"/>
      <c r="E102" s="104">
        <f t="shared" si="21"/>
        <v>0</v>
      </c>
      <c r="F102" s="105" t="e">
        <f t="shared" si="29"/>
        <v>#DIV/0!</v>
      </c>
      <c r="G102" s="104">
        <f t="shared" si="22"/>
        <v>0</v>
      </c>
      <c r="H102" s="105" t="e">
        <f t="shared" si="30"/>
        <v>#DIV/0!</v>
      </c>
      <c r="I102" s="164" t="s">
        <v>150</v>
      </c>
      <c r="J102" s="103">
        <f>J18</f>
        <v>8409</v>
      </c>
      <c r="K102" s="103">
        <f>K18</f>
        <v>8223</v>
      </c>
      <c r="L102" s="103">
        <f>L18</f>
        <v>9005</v>
      </c>
      <c r="M102" s="104">
        <f t="shared" si="25"/>
        <v>596</v>
      </c>
      <c r="N102" s="105">
        <f t="shared" si="28"/>
        <v>7.09</v>
      </c>
      <c r="O102" s="104">
        <f t="shared" si="26"/>
        <v>782</v>
      </c>
      <c r="P102" s="105">
        <f t="shared" si="27"/>
        <v>9.51</v>
      </c>
    </row>
    <row r="103" spans="1:16" ht="21.75" customHeight="1" hidden="1">
      <c r="A103" s="111" t="s">
        <v>151</v>
      </c>
      <c r="B103" s="112">
        <f>B31+B98+B102</f>
        <v>57385</v>
      </c>
      <c r="C103" s="112">
        <f>C31+C98+C102+2</f>
        <v>51912</v>
      </c>
      <c r="D103" s="112">
        <f>D31+D98+D102</f>
        <v>50965.5</v>
      </c>
      <c r="E103" s="104">
        <f t="shared" si="21"/>
        <v>-6419.5</v>
      </c>
      <c r="F103" s="105">
        <f t="shared" si="29"/>
        <v>-11.19</v>
      </c>
      <c r="G103" s="104">
        <f t="shared" si="22"/>
        <v>-946.5</v>
      </c>
      <c r="H103" s="105">
        <f t="shared" si="30"/>
        <v>-1.82</v>
      </c>
      <c r="I103" s="165" t="s">
        <v>152</v>
      </c>
      <c r="J103" s="159">
        <v>1267</v>
      </c>
      <c r="K103" s="159">
        <v>1064</v>
      </c>
      <c r="L103" s="166">
        <v>1326</v>
      </c>
      <c r="M103" s="166">
        <f t="shared" si="25"/>
        <v>59</v>
      </c>
      <c r="N103" s="167">
        <f t="shared" si="28"/>
        <v>4.66</v>
      </c>
      <c r="O103" s="166">
        <f t="shared" si="26"/>
        <v>262</v>
      </c>
      <c r="P103" s="167">
        <f t="shared" si="27"/>
        <v>24.62</v>
      </c>
    </row>
    <row r="104" spans="1:17" s="59" customFormat="1" ht="21.75" customHeight="1" hidden="1">
      <c r="A104" s="115" t="s">
        <v>153</v>
      </c>
      <c r="B104" s="112">
        <f>B105+B107</f>
        <v>28250</v>
      </c>
      <c r="C104" s="112">
        <f>C105+C107</f>
        <v>25741</v>
      </c>
      <c r="D104" s="112">
        <f>D105+D107</f>
        <v>21693</v>
      </c>
      <c r="E104" s="104">
        <f t="shared" si="21"/>
        <v>-6557</v>
      </c>
      <c r="F104" s="105">
        <f t="shared" si="29"/>
        <v>-23.21</v>
      </c>
      <c r="G104" s="104">
        <f t="shared" si="22"/>
        <v>-4048</v>
      </c>
      <c r="H104" s="105">
        <f t="shared" si="30"/>
        <v>-15.73</v>
      </c>
      <c r="I104" s="168" t="s">
        <v>154</v>
      </c>
      <c r="J104" s="169">
        <f>J15</f>
        <v>5835</v>
      </c>
      <c r="K104" s="169">
        <f>K15</f>
        <v>6784</v>
      </c>
      <c r="L104" s="169">
        <f>L15</f>
        <v>7379</v>
      </c>
      <c r="M104" s="170">
        <f t="shared" si="25"/>
        <v>1544</v>
      </c>
      <c r="N104" s="171">
        <f t="shared" si="28"/>
        <v>26.46</v>
      </c>
      <c r="O104" s="170">
        <f t="shared" si="26"/>
        <v>595</v>
      </c>
      <c r="P104" s="171">
        <f t="shared" si="27"/>
        <v>8.77</v>
      </c>
      <c r="Q104" s="155"/>
    </row>
    <row r="105" spans="1:16" ht="21.75" customHeight="1" hidden="1">
      <c r="A105" s="118" t="s">
        <v>155</v>
      </c>
      <c r="B105" s="103">
        <f>B9+B11-B111</f>
        <v>8120</v>
      </c>
      <c r="C105" s="103">
        <f>C9+C11-C111</f>
        <v>7604</v>
      </c>
      <c r="D105" s="103">
        <f>D9+D11-D111</f>
        <v>6049</v>
      </c>
      <c r="E105" s="119">
        <f aca="true" t="shared" si="32" ref="E105:E121">D105-B105</f>
        <v>-2071</v>
      </c>
      <c r="F105" s="120">
        <f t="shared" si="29"/>
        <v>-25.5</v>
      </c>
      <c r="G105" s="119">
        <f aca="true" t="shared" si="33" ref="G105:G121">D105-C105</f>
        <v>-1555</v>
      </c>
      <c r="H105" s="120">
        <f t="shared" si="30"/>
        <v>-20.45</v>
      </c>
      <c r="I105" s="168" t="s">
        <v>156</v>
      </c>
      <c r="J105" s="169">
        <f>J14</f>
        <v>7203</v>
      </c>
      <c r="K105" s="169">
        <f>K14</f>
        <v>8342</v>
      </c>
      <c r="L105" s="169">
        <f>L14</f>
        <v>9112</v>
      </c>
      <c r="M105" s="170">
        <f t="shared" si="25"/>
        <v>1909</v>
      </c>
      <c r="N105" s="171">
        <f t="shared" si="28"/>
        <v>26.5</v>
      </c>
      <c r="O105" s="170">
        <f t="shared" si="26"/>
        <v>770</v>
      </c>
      <c r="P105" s="171">
        <f t="shared" si="27"/>
        <v>9.23</v>
      </c>
    </row>
    <row r="106" spans="1:16" ht="22.5" customHeight="1" hidden="1">
      <c r="A106" s="118" t="s">
        <v>157</v>
      </c>
      <c r="B106" s="103">
        <f>B11-B111</f>
        <v>2820</v>
      </c>
      <c r="C106" s="103">
        <f>C11-C111</f>
        <v>3033</v>
      </c>
      <c r="D106" s="103">
        <f>D11-D111</f>
        <v>1669</v>
      </c>
      <c r="E106" s="119">
        <f t="shared" si="32"/>
        <v>-1151</v>
      </c>
      <c r="F106" s="120">
        <f t="shared" si="29"/>
        <v>-40.82</v>
      </c>
      <c r="G106" s="119">
        <f t="shared" si="33"/>
        <v>-1364</v>
      </c>
      <c r="H106" s="120">
        <f t="shared" si="30"/>
        <v>-44.97</v>
      </c>
      <c r="I106" s="162" t="s">
        <v>158</v>
      </c>
      <c r="J106" s="127">
        <f>ROUND(J98/J31*100,2)</f>
        <v>53.71</v>
      </c>
      <c r="K106" s="127">
        <f>ROUND(K98/K31*100,2)</f>
        <v>64.37</v>
      </c>
      <c r="L106" s="127">
        <f>ROUND(L98/L31*100,2)</f>
        <v>64.14</v>
      </c>
      <c r="M106" s="105">
        <f t="shared" si="25"/>
        <v>10.43</v>
      </c>
      <c r="N106" s="105">
        <f t="shared" si="28"/>
        <v>19.42</v>
      </c>
      <c r="O106" s="105">
        <f t="shared" si="26"/>
        <v>-0.23000000000000398</v>
      </c>
      <c r="P106" s="105">
        <f t="shared" si="27"/>
        <v>-0.36</v>
      </c>
    </row>
    <row r="107" spans="1:16" ht="21.75" customHeight="1" hidden="1">
      <c r="A107" s="118" t="s">
        <v>159</v>
      </c>
      <c r="B107" s="103">
        <f>ROUND(B9*3+B106*1.5,0)</f>
        <v>20130</v>
      </c>
      <c r="C107" s="103">
        <f>ROUND((C9-42)*3+C106*1.5,0)</f>
        <v>18137</v>
      </c>
      <c r="D107" s="103">
        <f>ROUND(D9*3+D106*1.5,0)</f>
        <v>15644</v>
      </c>
      <c r="E107" s="119">
        <f t="shared" si="32"/>
        <v>-4486</v>
      </c>
      <c r="F107" s="120">
        <f t="shared" si="29"/>
        <v>-22.29</v>
      </c>
      <c r="G107" s="119">
        <f t="shared" si="33"/>
        <v>-2493</v>
      </c>
      <c r="H107" s="120">
        <f t="shared" si="30"/>
        <v>-13.75</v>
      </c>
      <c r="I107" s="162" t="s">
        <v>160</v>
      </c>
      <c r="J107" s="127">
        <f>ROUND(J101/J31*100,2)</f>
        <v>1.05</v>
      </c>
      <c r="K107" s="127">
        <f>ROUND(K101/K31*100,2)</f>
        <v>1.79</v>
      </c>
      <c r="L107" s="127">
        <f>ROUND(L101/L31*100,2)</f>
        <v>1.74</v>
      </c>
      <c r="M107" s="105">
        <f t="shared" si="25"/>
        <v>0.69</v>
      </c>
      <c r="N107" s="105">
        <f t="shared" si="28"/>
        <v>65.71</v>
      </c>
      <c r="O107" s="105">
        <f t="shared" si="26"/>
        <v>-0.050000000000000044</v>
      </c>
      <c r="P107" s="105">
        <f t="shared" si="27"/>
        <v>-2.79</v>
      </c>
    </row>
    <row r="108" spans="1:17" s="59" customFormat="1" ht="21.75" customHeight="1" hidden="1">
      <c r="A108" s="115" t="s">
        <v>161</v>
      </c>
      <c r="B108" s="112">
        <f>B109+B113</f>
        <v>26275</v>
      </c>
      <c r="C108" s="112">
        <f>C109+C113</f>
        <v>23175</v>
      </c>
      <c r="D108" s="112">
        <f>D109+D113</f>
        <v>26687</v>
      </c>
      <c r="E108" s="104">
        <f t="shared" si="32"/>
        <v>412</v>
      </c>
      <c r="F108" s="105">
        <f t="shared" si="29"/>
        <v>1.57</v>
      </c>
      <c r="G108" s="104">
        <f t="shared" si="33"/>
        <v>3512</v>
      </c>
      <c r="H108" s="105">
        <f t="shared" si="30"/>
        <v>15.15</v>
      </c>
      <c r="I108" s="162" t="s">
        <v>162</v>
      </c>
      <c r="J108" s="127">
        <f>ROUND(J100/J31*100,2)</f>
        <v>19.32</v>
      </c>
      <c r="K108" s="127">
        <f>ROUND(K100/K31*100,2)</f>
        <v>27.21</v>
      </c>
      <c r="L108" s="127">
        <f>ROUND(L100/L31*100,2)</f>
        <v>27.39</v>
      </c>
      <c r="M108" s="105">
        <f t="shared" si="25"/>
        <v>8.07</v>
      </c>
      <c r="N108" s="105">
        <f t="shared" si="28"/>
        <v>41.77</v>
      </c>
      <c r="O108" s="105">
        <f t="shared" si="26"/>
        <v>0.17999999999999972</v>
      </c>
      <c r="P108" s="105">
        <f t="shared" si="27"/>
        <v>0.66</v>
      </c>
      <c r="Q108" s="155"/>
    </row>
    <row r="109" spans="1:16" ht="21.75" customHeight="1" hidden="1">
      <c r="A109" s="118" t="s">
        <v>155</v>
      </c>
      <c r="B109" s="103">
        <f>B31-B24-B105+B112</f>
        <v>22420</v>
      </c>
      <c r="C109" s="103">
        <f>C31-C24-C105+C112</f>
        <v>20131</v>
      </c>
      <c r="D109" s="103">
        <f>D31-D24-D105+D112</f>
        <v>22365</v>
      </c>
      <c r="E109" s="119">
        <f t="shared" si="32"/>
        <v>-55</v>
      </c>
      <c r="F109" s="120">
        <f t="shared" si="29"/>
        <v>-0.25</v>
      </c>
      <c r="G109" s="119">
        <f t="shared" si="33"/>
        <v>2234</v>
      </c>
      <c r="H109" s="120">
        <f t="shared" si="30"/>
        <v>11.1</v>
      </c>
      <c r="I109" s="162" t="s">
        <v>163</v>
      </c>
      <c r="J109" s="127">
        <f>ROUND(J8/J31*100,2)</f>
        <v>14.49</v>
      </c>
      <c r="K109" s="127">
        <f>ROUND(K8/K31*100,2)</f>
        <v>12.77</v>
      </c>
      <c r="L109" s="127">
        <f>ROUND(L8/L31*100,2)</f>
        <v>12.72</v>
      </c>
      <c r="M109" s="105">
        <f t="shared" si="25"/>
        <v>-1.7699999999999996</v>
      </c>
      <c r="N109" s="105">
        <f t="shared" si="28"/>
        <v>-12.22</v>
      </c>
      <c r="O109" s="105">
        <f t="shared" si="26"/>
        <v>-0.049999999999998934</v>
      </c>
      <c r="P109" s="105">
        <f t="shared" si="27"/>
        <v>-0.39</v>
      </c>
    </row>
    <row r="110" spans="1:16" ht="21.75" customHeight="1" hidden="1">
      <c r="A110" s="118" t="s">
        <v>164</v>
      </c>
      <c r="B110" s="103">
        <f>B12</f>
        <v>1340</v>
      </c>
      <c r="C110" s="103">
        <f>C12</f>
        <v>1104</v>
      </c>
      <c r="D110" s="103">
        <f>D12</f>
        <v>1181</v>
      </c>
      <c r="E110" s="119">
        <f t="shared" si="32"/>
        <v>-159</v>
      </c>
      <c r="F110" s="120">
        <f t="shared" si="29"/>
        <v>-11.87</v>
      </c>
      <c r="G110" s="119">
        <f t="shared" si="33"/>
        <v>77</v>
      </c>
      <c r="H110" s="120">
        <f t="shared" si="30"/>
        <v>6.97</v>
      </c>
      <c r="I110" s="122"/>
      <c r="J110" s="123"/>
      <c r="K110" s="123"/>
      <c r="L110" s="123"/>
      <c r="M110" s="123"/>
      <c r="N110" s="123"/>
      <c r="O110" s="123"/>
      <c r="P110" s="123"/>
    </row>
    <row r="111" spans="1:16" ht="21.75" customHeight="1" hidden="1">
      <c r="A111" s="118" t="s">
        <v>165</v>
      </c>
      <c r="B111" s="103">
        <v>1230</v>
      </c>
      <c r="C111" s="103">
        <v>925</v>
      </c>
      <c r="D111" s="103">
        <v>1700</v>
      </c>
      <c r="E111" s="119">
        <f t="shared" si="32"/>
        <v>470</v>
      </c>
      <c r="F111" s="120">
        <f t="shared" si="29"/>
        <v>38.21</v>
      </c>
      <c r="G111" s="119">
        <f t="shared" si="33"/>
        <v>775</v>
      </c>
      <c r="H111" s="120">
        <f t="shared" si="30"/>
        <v>83.78</v>
      </c>
      <c r="I111" s="122"/>
      <c r="J111" s="123"/>
      <c r="K111" s="123"/>
      <c r="L111" s="123"/>
      <c r="M111" s="123"/>
      <c r="N111" s="123"/>
      <c r="O111" s="123"/>
      <c r="P111" s="123"/>
    </row>
    <row r="112" spans="1:16" ht="21.75" customHeight="1" hidden="1">
      <c r="A112" s="118" t="s">
        <v>166</v>
      </c>
      <c r="B112" s="103">
        <v>700</v>
      </c>
      <c r="C112" s="103">
        <v>616</v>
      </c>
      <c r="D112" s="103">
        <v>680</v>
      </c>
      <c r="E112" s="119">
        <f t="shared" si="32"/>
        <v>-20</v>
      </c>
      <c r="F112" s="120">
        <f t="shared" si="29"/>
        <v>-2.86</v>
      </c>
      <c r="G112" s="119">
        <f t="shared" si="33"/>
        <v>64</v>
      </c>
      <c r="H112" s="120">
        <f t="shared" si="30"/>
        <v>10.39</v>
      </c>
      <c r="I112" s="122"/>
      <c r="J112" s="123"/>
      <c r="K112" s="123"/>
      <c r="L112" s="123"/>
      <c r="M112" s="123"/>
      <c r="N112" s="123"/>
      <c r="O112" s="123"/>
      <c r="P112" s="123"/>
    </row>
    <row r="113" spans="1:16" ht="21.75" customHeight="1" hidden="1">
      <c r="A113" s="118" t="s">
        <v>159</v>
      </c>
      <c r="B113" s="103">
        <f>ROUND(B111*1.5+B110*1.5,0)</f>
        <v>3855</v>
      </c>
      <c r="C113" s="103">
        <f>ROUND(C111*1.5+C110*1.5,0)</f>
        <v>3044</v>
      </c>
      <c r="D113" s="103">
        <f>ROUND(D111*1.5+D110*1.5,0)</f>
        <v>4322</v>
      </c>
      <c r="E113" s="119">
        <f t="shared" si="32"/>
        <v>467</v>
      </c>
      <c r="F113" s="120">
        <f t="shared" si="29"/>
        <v>12.11</v>
      </c>
      <c r="G113" s="119">
        <f t="shared" si="33"/>
        <v>1278</v>
      </c>
      <c r="H113" s="120">
        <f t="shared" si="30"/>
        <v>41.98</v>
      </c>
      <c r="I113" s="122"/>
      <c r="J113" s="123"/>
      <c r="K113" s="123"/>
      <c r="L113" s="123"/>
      <c r="M113" s="123"/>
      <c r="N113" s="123"/>
      <c r="O113" s="123"/>
      <c r="P113" s="123"/>
    </row>
    <row r="114" spans="1:17" s="59" customFormat="1" ht="21.75" customHeight="1" hidden="1">
      <c r="A114" s="115" t="s">
        <v>167</v>
      </c>
      <c r="B114" s="112">
        <f>B24-B112</f>
        <v>2860</v>
      </c>
      <c r="C114" s="112">
        <f>C24-C112</f>
        <v>2995</v>
      </c>
      <c r="D114" s="112">
        <f>D24-D112</f>
        <v>4986</v>
      </c>
      <c r="E114" s="119">
        <f t="shared" si="32"/>
        <v>2126</v>
      </c>
      <c r="F114" s="120">
        <f t="shared" si="29"/>
        <v>74.34</v>
      </c>
      <c r="G114" s="119">
        <f t="shared" si="33"/>
        <v>1991</v>
      </c>
      <c r="H114" s="120">
        <f t="shared" si="30"/>
        <v>66.48</v>
      </c>
      <c r="I114" s="122"/>
      <c r="J114" s="123"/>
      <c r="K114" s="123"/>
      <c r="L114" s="123"/>
      <c r="M114" s="123"/>
      <c r="N114" s="123"/>
      <c r="O114" s="123"/>
      <c r="P114" s="123"/>
      <c r="Q114" s="155"/>
    </row>
    <row r="115" spans="1:16" ht="21.75" customHeight="1" hidden="1">
      <c r="A115" s="118" t="s">
        <v>168</v>
      </c>
      <c r="B115" s="103">
        <f>B114-B28</f>
        <v>3360</v>
      </c>
      <c r="C115" s="103">
        <f>C114-C28</f>
        <v>3995</v>
      </c>
      <c r="D115" s="103">
        <f>D114-D28</f>
        <v>5366</v>
      </c>
      <c r="E115" s="119">
        <f t="shared" si="32"/>
        <v>2006</v>
      </c>
      <c r="F115" s="120">
        <f t="shared" si="29"/>
        <v>59.7</v>
      </c>
      <c r="G115" s="119">
        <f t="shared" si="33"/>
        <v>1371</v>
      </c>
      <c r="H115" s="120">
        <f t="shared" si="30"/>
        <v>34.32</v>
      </c>
      <c r="I115" s="122"/>
      <c r="J115" s="123"/>
      <c r="K115" s="123"/>
      <c r="L115" s="123"/>
      <c r="M115" s="123"/>
      <c r="N115" s="123"/>
      <c r="O115" s="123"/>
      <c r="P115" s="123"/>
    </row>
    <row r="116" spans="1:17" s="59" customFormat="1" ht="21.75" customHeight="1" hidden="1">
      <c r="A116" s="118" t="s">
        <v>169</v>
      </c>
      <c r="B116" s="127">
        <f>ROUND(B8/B31*100,2)</f>
        <v>89.34</v>
      </c>
      <c r="C116" s="127">
        <f>ROUND(C8/C31*100,2)</f>
        <v>88.25</v>
      </c>
      <c r="D116" s="127">
        <f>ROUND(D8/D31*100,2)</f>
        <v>83.04</v>
      </c>
      <c r="E116" s="119">
        <f t="shared" si="32"/>
        <v>-6.299999999999997</v>
      </c>
      <c r="F116" s="120">
        <f t="shared" si="29"/>
        <v>-7.05</v>
      </c>
      <c r="G116" s="119">
        <f t="shared" si="33"/>
        <v>-5.209999999999994</v>
      </c>
      <c r="H116" s="120">
        <f t="shared" si="30"/>
        <v>-5.9</v>
      </c>
      <c r="I116" s="122"/>
      <c r="J116" s="123"/>
      <c r="K116" s="123"/>
      <c r="L116" s="123"/>
      <c r="M116" s="123"/>
      <c r="N116" s="123"/>
      <c r="O116" s="123"/>
      <c r="P116" s="123"/>
      <c r="Q116" s="155"/>
    </row>
    <row r="117" spans="1:16" ht="21.75" customHeight="1" hidden="1">
      <c r="A117" s="118" t="s">
        <v>170</v>
      </c>
      <c r="B117" s="103">
        <f>B31-B27-B25-B28-B14+B35</f>
        <v>55264</v>
      </c>
      <c r="C117" s="159">
        <f>C31-C27-C25-C28-C14+C35-4379</f>
        <v>55849</v>
      </c>
      <c r="D117" s="103">
        <f>D31-D27-D25-D28-D14+D35</f>
        <v>56715</v>
      </c>
      <c r="E117" s="119">
        <f t="shared" si="32"/>
        <v>1451</v>
      </c>
      <c r="F117" s="120">
        <f t="shared" si="29"/>
        <v>2.63</v>
      </c>
      <c r="G117" s="119">
        <f t="shared" si="33"/>
        <v>866</v>
      </c>
      <c r="H117" s="120">
        <f t="shared" si="30"/>
        <v>1.55</v>
      </c>
      <c r="I117" s="122"/>
      <c r="J117" s="123"/>
      <c r="K117" s="123"/>
      <c r="L117" s="123"/>
      <c r="M117" s="123"/>
      <c r="N117" s="123"/>
      <c r="O117" s="123"/>
      <c r="P117" s="123"/>
    </row>
    <row r="118" spans="1:16" ht="21.75" customHeight="1" hidden="1">
      <c r="A118" s="118" t="s">
        <v>171</v>
      </c>
      <c r="B118" s="103">
        <v>615710</v>
      </c>
      <c r="C118" s="103">
        <v>540100</v>
      </c>
      <c r="D118" s="103">
        <v>599428</v>
      </c>
      <c r="E118" s="119">
        <f t="shared" si="32"/>
        <v>-16282</v>
      </c>
      <c r="F118" s="120">
        <f t="shared" si="29"/>
        <v>-2.64</v>
      </c>
      <c r="G118" s="119">
        <f t="shared" si="33"/>
        <v>59328</v>
      </c>
      <c r="H118" s="120">
        <f t="shared" si="30"/>
        <v>10.98</v>
      </c>
      <c r="I118" s="122"/>
      <c r="J118" s="123"/>
      <c r="K118" s="123"/>
      <c r="L118" s="123"/>
      <c r="M118" s="123"/>
      <c r="N118" s="123"/>
      <c r="O118" s="123"/>
      <c r="P118" s="123"/>
    </row>
    <row r="119" spans="1:16" ht="21.75" customHeight="1" hidden="1">
      <c r="A119" s="118" t="s">
        <v>172</v>
      </c>
      <c r="B119" s="127">
        <f>ROUND(B31/B118*100,2)</f>
        <v>5.42</v>
      </c>
      <c r="C119" s="127">
        <f>ROUND(C31/C118*100,2)</f>
        <v>5.69</v>
      </c>
      <c r="D119" s="127">
        <f>ROUND(D31/D118*100,2)</f>
        <v>5.57</v>
      </c>
      <c r="E119" s="119">
        <f t="shared" si="32"/>
        <v>0.15000000000000036</v>
      </c>
      <c r="F119" s="120">
        <f t="shared" si="29"/>
        <v>2.77</v>
      </c>
      <c r="G119" s="119">
        <f t="shared" si="33"/>
        <v>-0.1200000000000001</v>
      </c>
      <c r="H119" s="120">
        <f t="shared" si="30"/>
        <v>-2.11</v>
      </c>
      <c r="I119" s="122"/>
      <c r="J119" s="123"/>
      <c r="K119" s="123"/>
      <c r="L119" s="123"/>
      <c r="M119" s="123"/>
      <c r="N119" s="123"/>
      <c r="O119" s="123"/>
      <c r="P119" s="123"/>
    </row>
    <row r="120" spans="1:16" ht="21.75" customHeight="1" hidden="1">
      <c r="A120" s="118" t="s">
        <v>173</v>
      </c>
      <c r="B120" s="127">
        <f>ROUND(B103/B118*100,2)</f>
        <v>9.32</v>
      </c>
      <c r="C120" s="127">
        <f>ROUND(C103/C118*100,2)</f>
        <v>9.61</v>
      </c>
      <c r="D120" s="127">
        <f>ROUND(D103/D118*100,2)</f>
        <v>8.5</v>
      </c>
      <c r="E120" s="119">
        <f t="shared" si="32"/>
        <v>-0.8200000000000003</v>
      </c>
      <c r="F120" s="120">
        <f t="shared" si="29"/>
        <v>-8.8</v>
      </c>
      <c r="G120" s="119">
        <f t="shared" si="33"/>
        <v>-1.1099999999999994</v>
      </c>
      <c r="H120" s="120">
        <f t="shared" si="30"/>
        <v>-11.55</v>
      </c>
      <c r="I120" s="122"/>
      <c r="J120" s="123"/>
      <c r="K120" s="123"/>
      <c r="L120" s="123"/>
      <c r="M120" s="123"/>
      <c r="N120" s="123"/>
      <c r="O120" s="123"/>
      <c r="P120" s="123"/>
    </row>
    <row r="121" spans="1:16" ht="21.75" customHeight="1" hidden="1">
      <c r="A121" s="160" t="s">
        <v>174</v>
      </c>
      <c r="B121" s="103">
        <f>B103+'2014年基金'!B15</f>
        <v>76325</v>
      </c>
      <c r="C121" s="103">
        <f>C103+'2014年基金'!C15</f>
        <v>68439</v>
      </c>
      <c r="D121" s="103">
        <f>D103+'2014年基金'!D15</f>
        <v>56125.5</v>
      </c>
      <c r="E121" s="119">
        <f t="shared" si="32"/>
        <v>-20199.5</v>
      </c>
      <c r="F121" s="120">
        <f t="shared" si="29"/>
        <v>-26.47</v>
      </c>
      <c r="G121" s="119">
        <f t="shared" si="33"/>
        <v>-12313.5</v>
      </c>
      <c r="H121" s="120">
        <f t="shared" si="30"/>
        <v>-17.99</v>
      </c>
      <c r="I121" s="122"/>
      <c r="J121" s="123"/>
      <c r="K121" s="123"/>
      <c r="L121" s="123"/>
      <c r="M121" s="123"/>
      <c r="N121" s="123"/>
      <c r="O121" s="123"/>
      <c r="P121" s="123"/>
    </row>
    <row r="122" ht="20.25" customHeight="1"/>
  </sheetData>
  <mergeCells count="19">
    <mergeCell ref="A2:P2"/>
    <mergeCell ref="D3:I3"/>
    <mergeCell ref="A4:H4"/>
    <mergeCell ref="I4:P4"/>
    <mergeCell ref="L5:P5"/>
    <mergeCell ref="E6:F6"/>
    <mergeCell ref="G6:H6"/>
    <mergeCell ref="M6:N6"/>
    <mergeCell ref="O6:P6"/>
    <mergeCell ref="Q7:S7"/>
    <mergeCell ref="A5:A7"/>
    <mergeCell ref="B5:B7"/>
    <mergeCell ref="C5:C7"/>
    <mergeCell ref="D6:D7"/>
    <mergeCell ref="I5:I7"/>
    <mergeCell ref="J5:J7"/>
    <mergeCell ref="K5:K7"/>
    <mergeCell ref="L6:L7"/>
    <mergeCell ref="D5:H5"/>
  </mergeCells>
  <printOptions/>
  <pageMargins left="0.39305555555555555" right="0.07847222222222222" top="0.5" bottom="0.9798611111111111" header="0.3541666666666667" footer="0.275"/>
  <pageSetup horizontalDpi="600" verticalDpi="600" orientation="landscape" paperSize="8" scale="7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zoomScale="70" zoomScaleNormal="7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8" sqref="I28"/>
    </sheetView>
  </sheetViews>
  <sheetFormatPr defaultColWidth="9.00390625" defaultRowHeight="14.25"/>
  <cols>
    <col min="1" max="1" width="30.75390625" style="131" bestFit="1" customWidth="1"/>
    <col min="2" max="2" width="11.375" style="132" customWidth="1"/>
    <col min="3" max="3" width="10.125" style="132" customWidth="1"/>
    <col min="4" max="4" width="13.00390625" style="132" bestFit="1" customWidth="1"/>
    <col min="5" max="5" width="10.125" style="132" customWidth="1"/>
    <col min="6" max="6" width="10.50390625" style="132" customWidth="1"/>
    <col min="7" max="7" width="9.875" style="132" customWidth="1"/>
    <col min="8" max="8" width="11.125" style="132" customWidth="1"/>
    <col min="9" max="9" width="33.125" style="131" customWidth="1"/>
    <col min="10" max="10" width="11.75390625" style="132" customWidth="1"/>
    <col min="11" max="11" width="12.00390625" style="132" customWidth="1"/>
    <col min="12" max="12" width="13.125" style="133" customWidth="1"/>
    <col min="13" max="13" width="10.625" style="132" customWidth="1"/>
    <col min="14" max="14" width="11.375" style="132" customWidth="1"/>
    <col min="15" max="15" width="10.00390625" style="132" customWidth="1"/>
    <col min="16" max="16" width="11.00390625" style="132" customWidth="1"/>
    <col min="17" max="16384" width="9.00390625" style="131" customWidth="1"/>
  </cols>
  <sheetData>
    <row r="1" ht="18" customHeight="1">
      <c r="A1" s="38" t="s">
        <v>175</v>
      </c>
    </row>
    <row r="2" spans="1:16" s="38" customFormat="1" ht="25.5">
      <c r="A2" s="210" t="s">
        <v>176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10"/>
      <c r="N2" s="210"/>
      <c r="O2" s="210"/>
      <c r="P2" s="210"/>
    </row>
    <row r="3" spans="1:15" ht="20.25" customHeight="1">
      <c r="A3" s="38" t="s">
        <v>8</v>
      </c>
      <c r="F3" s="212"/>
      <c r="G3" s="212"/>
      <c r="H3" s="212"/>
      <c r="I3" s="212"/>
      <c r="J3" s="212"/>
      <c r="O3" s="132" t="s">
        <v>9</v>
      </c>
    </row>
    <row r="4" spans="1:16" ht="30.75" customHeight="1">
      <c r="A4" s="213" t="s">
        <v>10</v>
      </c>
      <c r="B4" s="214"/>
      <c r="C4" s="214"/>
      <c r="D4" s="214"/>
      <c r="E4" s="214"/>
      <c r="F4" s="214"/>
      <c r="G4" s="214"/>
      <c r="H4" s="215"/>
      <c r="I4" s="216" t="s">
        <v>11</v>
      </c>
      <c r="J4" s="216"/>
      <c r="K4" s="216"/>
      <c r="L4" s="217"/>
      <c r="M4" s="216"/>
      <c r="N4" s="216"/>
      <c r="O4" s="216"/>
      <c r="P4" s="216"/>
    </row>
    <row r="5" spans="1:16" ht="30.75" customHeight="1">
      <c r="A5" s="200" t="s">
        <v>12</v>
      </c>
      <c r="B5" s="203" t="s">
        <v>13</v>
      </c>
      <c r="C5" s="174" t="s">
        <v>14</v>
      </c>
      <c r="D5" s="204" t="s">
        <v>15</v>
      </c>
      <c r="E5" s="205"/>
      <c r="F5" s="205"/>
      <c r="G5" s="205"/>
      <c r="H5" s="206"/>
      <c r="I5" s="200" t="s">
        <v>12</v>
      </c>
      <c r="J5" s="203" t="s">
        <v>13</v>
      </c>
      <c r="K5" s="174" t="s">
        <v>14</v>
      </c>
      <c r="L5" s="207" t="s">
        <v>15</v>
      </c>
      <c r="M5" s="205"/>
      <c r="N5" s="205"/>
      <c r="O5" s="205"/>
      <c r="P5" s="206"/>
    </row>
    <row r="6" spans="1:16" ht="30.75" customHeight="1">
      <c r="A6" s="201"/>
      <c r="B6" s="201"/>
      <c r="C6" s="189" t="s">
        <v>16</v>
      </c>
      <c r="D6" s="174" t="s">
        <v>17</v>
      </c>
      <c r="E6" s="204" t="s">
        <v>18</v>
      </c>
      <c r="F6" s="206"/>
      <c r="G6" s="191" t="s">
        <v>19</v>
      </c>
      <c r="H6" s="193"/>
      <c r="I6" s="201"/>
      <c r="J6" s="201"/>
      <c r="K6" s="189" t="s">
        <v>16</v>
      </c>
      <c r="L6" s="208" t="s">
        <v>17</v>
      </c>
      <c r="M6" s="204" t="s">
        <v>18</v>
      </c>
      <c r="N6" s="206"/>
      <c r="O6" s="191" t="s">
        <v>19</v>
      </c>
      <c r="P6" s="193"/>
    </row>
    <row r="7" spans="1:16" ht="30.75" customHeight="1">
      <c r="A7" s="202"/>
      <c r="B7" s="202"/>
      <c r="C7" s="175"/>
      <c r="D7" s="190"/>
      <c r="E7" s="43" t="s">
        <v>20</v>
      </c>
      <c r="F7" s="43" t="s">
        <v>21</v>
      </c>
      <c r="G7" s="43" t="s">
        <v>20</v>
      </c>
      <c r="H7" s="43" t="s">
        <v>21</v>
      </c>
      <c r="I7" s="202"/>
      <c r="J7" s="202"/>
      <c r="K7" s="175"/>
      <c r="L7" s="209"/>
      <c r="M7" s="43" t="s">
        <v>20</v>
      </c>
      <c r="N7" s="43" t="s">
        <v>21</v>
      </c>
      <c r="O7" s="43" t="s">
        <v>20</v>
      </c>
      <c r="P7" s="43" t="s">
        <v>21</v>
      </c>
    </row>
    <row r="8" spans="1:16" ht="36.75" customHeight="1">
      <c r="A8" s="48" t="s">
        <v>177</v>
      </c>
      <c r="B8" s="45">
        <v>16905</v>
      </c>
      <c r="C8" s="66">
        <v>14159</v>
      </c>
      <c r="D8" s="134">
        <v>3500</v>
      </c>
      <c r="E8" s="45">
        <f aca="true" t="shared" si="0" ref="E8:E13">D8-B8</f>
        <v>-13405</v>
      </c>
      <c r="F8" s="135">
        <f aca="true" t="shared" si="1" ref="F8:F13">ROUND(E8/B8*100,2)</f>
        <v>-79.3</v>
      </c>
      <c r="G8" s="45">
        <f aca="true" t="shared" si="2" ref="G8:G13">D8-C8</f>
        <v>-10659</v>
      </c>
      <c r="H8" s="135">
        <f aca="true" t="shared" si="3" ref="H8:H13">ROUND(G8/C8*100,2)</f>
        <v>-75.28</v>
      </c>
      <c r="I8" s="53" t="s">
        <v>178</v>
      </c>
      <c r="J8" s="45">
        <f>16905+114</f>
        <v>17019</v>
      </c>
      <c r="K8" s="68">
        <v>13559</v>
      </c>
      <c r="L8" s="55">
        <v>3350</v>
      </c>
      <c r="M8" s="45">
        <f>L8-J8</f>
        <v>-13669</v>
      </c>
      <c r="N8" s="135">
        <f>ROUND(M8/J8*100,2)</f>
        <v>-80.32</v>
      </c>
      <c r="O8" s="45">
        <f>L8-K8</f>
        <v>-10209</v>
      </c>
      <c r="P8" s="135">
        <f>ROUND(O8/K8*100,2)</f>
        <v>-75.29</v>
      </c>
    </row>
    <row r="9" spans="1:16" ht="36.75" customHeight="1">
      <c r="A9" s="48" t="s">
        <v>179</v>
      </c>
      <c r="B9" s="47">
        <v>140</v>
      </c>
      <c r="C9" s="68">
        <v>127</v>
      </c>
      <c r="D9" s="136">
        <v>150</v>
      </c>
      <c r="E9" s="45">
        <f t="shared" si="0"/>
        <v>10</v>
      </c>
      <c r="F9" s="135">
        <f t="shared" si="1"/>
        <v>7.14</v>
      </c>
      <c r="G9" s="45">
        <f t="shared" si="2"/>
        <v>23</v>
      </c>
      <c r="H9" s="135">
        <f t="shared" si="3"/>
        <v>18.11</v>
      </c>
      <c r="I9" s="53" t="s">
        <v>180</v>
      </c>
      <c r="J9" s="47">
        <v>140</v>
      </c>
      <c r="K9" s="68">
        <v>126</v>
      </c>
      <c r="L9" s="55">
        <v>150</v>
      </c>
      <c r="M9" s="45">
        <f>L9-J9</f>
        <v>10</v>
      </c>
      <c r="N9" s="135">
        <f>ROUND(M9/J9*100,2)</f>
        <v>7.14</v>
      </c>
      <c r="O9" s="45">
        <f>L9-K9</f>
        <v>24</v>
      </c>
      <c r="P9" s="135">
        <f>ROUND(O9/K9*100,2)</f>
        <v>19.05</v>
      </c>
    </row>
    <row r="10" spans="1:16" ht="36.75" customHeight="1">
      <c r="A10" s="48" t="s">
        <v>181</v>
      </c>
      <c r="B10" s="47">
        <v>1050</v>
      </c>
      <c r="C10" s="68">
        <v>1016</v>
      </c>
      <c r="D10" s="137">
        <v>700</v>
      </c>
      <c r="E10" s="45">
        <f t="shared" si="0"/>
        <v>-350</v>
      </c>
      <c r="F10" s="135">
        <f t="shared" si="1"/>
        <v>-33.33</v>
      </c>
      <c r="G10" s="45">
        <f t="shared" si="2"/>
        <v>-316</v>
      </c>
      <c r="H10" s="135">
        <f t="shared" si="3"/>
        <v>-31.1</v>
      </c>
      <c r="I10" s="53" t="s">
        <v>182</v>
      </c>
      <c r="J10" s="47">
        <v>1054</v>
      </c>
      <c r="K10" s="68">
        <v>800</v>
      </c>
      <c r="L10" s="55">
        <v>700</v>
      </c>
      <c r="M10" s="45">
        <f>L10-J10</f>
        <v>-354</v>
      </c>
      <c r="N10" s="135">
        <f>ROUND(M10/J10*100,2)</f>
        <v>-33.59</v>
      </c>
      <c r="O10" s="45">
        <f>L10-K10</f>
        <v>-100</v>
      </c>
      <c r="P10" s="135">
        <f>ROUND(O10/K10*100,2)</f>
        <v>-12.5</v>
      </c>
    </row>
    <row r="11" spans="1:16" ht="36.75" customHeight="1">
      <c r="A11" s="48" t="s">
        <v>183</v>
      </c>
      <c r="B11" s="47">
        <v>600</v>
      </c>
      <c r="C11" s="68">
        <v>883</v>
      </c>
      <c r="D11" s="137">
        <v>450</v>
      </c>
      <c r="E11" s="45">
        <f t="shared" si="0"/>
        <v>-150</v>
      </c>
      <c r="F11" s="135">
        <f t="shared" si="1"/>
        <v>-25</v>
      </c>
      <c r="G11" s="45">
        <f t="shared" si="2"/>
        <v>-433</v>
      </c>
      <c r="H11" s="135">
        <f t="shared" si="3"/>
        <v>-49.04</v>
      </c>
      <c r="I11" s="53" t="s">
        <v>184</v>
      </c>
      <c r="J11" s="47">
        <v>637</v>
      </c>
      <c r="K11" s="68">
        <v>850</v>
      </c>
      <c r="L11" s="55">
        <v>450</v>
      </c>
      <c r="M11" s="45">
        <f>L11-J11</f>
        <v>-187</v>
      </c>
      <c r="N11" s="135">
        <f>ROUND(M11/J11*100,2)</f>
        <v>-29.36</v>
      </c>
      <c r="O11" s="45">
        <f>L11-K11</f>
        <v>-400</v>
      </c>
      <c r="P11" s="135">
        <f>ROUND(O11/K11*100,2)</f>
        <v>-47.06</v>
      </c>
    </row>
    <row r="12" spans="1:16" ht="36.75" customHeight="1">
      <c r="A12" s="48" t="s">
        <v>185</v>
      </c>
      <c r="B12" s="47">
        <v>245</v>
      </c>
      <c r="C12" s="47">
        <v>342</v>
      </c>
      <c r="D12" s="136">
        <v>300</v>
      </c>
      <c r="E12" s="45">
        <f t="shared" si="0"/>
        <v>55</v>
      </c>
      <c r="F12" s="135">
        <f t="shared" si="1"/>
        <v>22.45</v>
      </c>
      <c r="G12" s="45">
        <f t="shared" si="2"/>
        <v>-42</v>
      </c>
      <c r="H12" s="135">
        <f t="shared" si="3"/>
        <v>-12.28</v>
      </c>
      <c r="I12" s="53" t="s">
        <v>186</v>
      </c>
      <c r="J12" s="47">
        <v>60</v>
      </c>
      <c r="K12" s="47">
        <v>25</v>
      </c>
      <c r="L12" s="55">
        <v>18</v>
      </c>
      <c r="M12" s="45">
        <f>L12-J12</f>
        <v>-42</v>
      </c>
      <c r="N12" s="135">
        <f>ROUND(M12/J12*100,2)</f>
        <v>-70</v>
      </c>
      <c r="O12" s="45">
        <f>L12-K12</f>
        <v>-7</v>
      </c>
      <c r="P12" s="135">
        <f>ROUND(O12/K12*100,2)</f>
        <v>-28</v>
      </c>
    </row>
    <row r="13" spans="1:16" ht="36.75" customHeight="1">
      <c r="A13" s="138" t="s">
        <v>187</v>
      </c>
      <c r="B13" s="47"/>
      <c r="C13" s="47"/>
      <c r="D13" s="136">
        <v>60</v>
      </c>
      <c r="E13" s="45">
        <f t="shared" si="0"/>
        <v>60</v>
      </c>
      <c r="F13" s="139" t="e">
        <f t="shared" si="1"/>
        <v>#DIV/0!</v>
      </c>
      <c r="G13" s="45">
        <f t="shared" si="2"/>
        <v>60</v>
      </c>
      <c r="H13" s="139" t="e">
        <f t="shared" si="3"/>
        <v>#DIV/0!</v>
      </c>
      <c r="I13" s="138" t="s">
        <v>188</v>
      </c>
      <c r="J13" s="47"/>
      <c r="K13" s="47"/>
      <c r="L13" s="55"/>
      <c r="M13" s="45"/>
      <c r="N13" s="135"/>
      <c r="O13" s="45"/>
      <c r="P13" s="135"/>
    </row>
    <row r="14" spans="1:16" ht="36.75" customHeight="1">
      <c r="A14" s="44"/>
      <c r="B14" s="47"/>
      <c r="C14" s="47"/>
      <c r="D14" s="68"/>
      <c r="E14" s="45">
        <f aca="true" t="shared" si="4" ref="E14:E22">D14-B14</f>
        <v>0</v>
      </c>
      <c r="F14" s="135"/>
      <c r="G14" s="45">
        <f aca="true" t="shared" si="5" ref="G14:G22">D14-C14</f>
        <v>0</v>
      </c>
      <c r="H14" s="135"/>
      <c r="I14" s="44"/>
      <c r="J14" s="47"/>
      <c r="K14" s="47"/>
      <c r="L14" s="55"/>
      <c r="M14" s="45">
        <f aca="true" t="shared" si="6" ref="M14:M22">L14-J14</f>
        <v>0</v>
      </c>
      <c r="N14" s="135"/>
      <c r="O14" s="45">
        <f aca="true" t="shared" si="7" ref="O14:O22">L14-K14</f>
        <v>0</v>
      </c>
      <c r="P14" s="135"/>
    </row>
    <row r="15" spans="1:16" s="39" customFormat="1" ht="36.75" customHeight="1">
      <c r="A15" s="49" t="s">
        <v>67</v>
      </c>
      <c r="B15" s="50">
        <f>SUM(B8:B14)</f>
        <v>18940</v>
      </c>
      <c r="C15" s="50">
        <f>SUM(C8:C14)</f>
        <v>16527</v>
      </c>
      <c r="D15" s="79">
        <f>SUM(D8:D13)</f>
        <v>5160</v>
      </c>
      <c r="E15" s="50">
        <f t="shared" si="4"/>
        <v>-13780</v>
      </c>
      <c r="F15" s="140">
        <f>ROUND(E15/B15*100,2)</f>
        <v>-72.76</v>
      </c>
      <c r="G15" s="50">
        <f t="shared" si="5"/>
        <v>-11367</v>
      </c>
      <c r="H15" s="140">
        <f>ROUND(G15/C15*100,2)</f>
        <v>-68.78</v>
      </c>
      <c r="I15" s="78" t="s">
        <v>68</v>
      </c>
      <c r="J15" s="50">
        <f>SUM(J8:J14)</f>
        <v>18910</v>
      </c>
      <c r="K15" s="50">
        <f>SUM(K8:K14)</f>
        <v>15360</v>
      </c>
      <c r="L15" s="141">
        <f>SUM(L8:L14)</f>
        <v>4668</v>
      </c>
      <c r="M15" s="50">
        <f t="shared" si="6"/>
        <v>-14242</v>
      </c>
      <c r="N15" s="140">
        <f>ROUND(M15/J15*100,2)</f>
        <v>-75.31</v>
      </c>
      <c r="O15" s="50">
        <f t="shared" si="7"/>
        <v>-10692</v>
      </c>
      <c r="P15" s="140">
        <f>ROUND(O15/K15*100,2)</f>
        <v>-69.61</v>
      </c>
    </row>
    <row r="16" spans="1:16" ht="36.75" customHeight="1" hidden="1">
      <c r="A16" s="52" t="s">
        <v>189</v>
      </c>
      <c r="B16" s="45"/>
      <c r="C16" s="45"/>
      <c r="D16" s="66"/>
      <c r="E16" s="45">
        <f t="shared" si="4"/>
        <v>0</v>
      </c>
      <c r="F16" s="135"/>
      <c r="G16" s="45">
        <f t="shared" si="5"/>
        <v>0</v>
      </c>
      <c r="H16" s="135"/>
      <c r="I16" s="52" t="s">
        <v>190</v>
      </c>
      <c r="J16" s="45"/>
      <c r="K16" s="47"/>
      <c r="L16" s="55"/>
      <c r="M16" s="45">
        <f t="shared" si="6"/>
        <v>0</v>
      </c>
      <c r="N16" s="135"/>
      <c r="O16" s="45">
        <f t="shared" si="7"/>
        <v>0</v>
      </c>
      <c r="P16" s="135"/>
    </row>
    <row r="17" spans="1:16" ht="36.75" customHeight="1">
      <c r="A17" s="53" t="s">
        <v>191</v>
      </c>
      <c r="B17" s="45"/>
      <c r="C17" s="45"/>
      <c r="D17" s="66"/>
      <c r="E17" s="45">
        <f t="shared" si="4"/>
        <v>0</v>
      </c>
      <c r="F17" s="135"/>
      <c r="G17" s="45">
        <f t="shared" si="5"/>
        <v>0</v>
      </c>
      <c r="H17" s="135"/>
      <c r="I17" s="53" t="s">
        <v>192</v>
      </c>
      <c r="J17" s="45">
        <v>95</v>
      </c>
      <c r="K17" s="66">
        <v>64</v>
      </c>
      <c r="L17" s="54">
        <v>21</v>
      </c>
      <c r="M17" s="45">
        <f t="shared" si="6"/>
        <v>-74</v>
      </c>
      <c r="N17" s="135"/>
      <c r="O17" s="45">
        <f t="shared" si="7"/>
        <v>-43</v>
      </c>
      <c r="P17" s="135"/>
    </row>
    <row r="18" spans="1:16" ht="36.75" customHeight="1">
      <c r="A18" s="53" t="s">
        <v>193</v>
      </c>
      <c r="B18" s="47"/>
      <c r="C18" s="47"/>
      <c r="D18" s="68"/>
      <c r="E18" s="45">
        <f t="shared" si="4"/>
        <v>0</v>
      </c>
      <c r="F18" s="135"/>
      <c r="G18" s="45">
        <f t="shared" si="5"/>
        <v>0</v>
      </c>
      <c r="H18" s="135"/>
      <c r="I18" s="53" t="s">
        <v>194</v>
      </c>
      <c r="J18" s="47"/>
      <c r="K18" s="47"/>
      <c r="L18" s="55"/>
      <c r="M18" s="45">
        <f t="shared" si="6"/>
        <v>0</v>
      </c>
      <c r="N18" s="135"/>
      <c r="O18" s="45">
        <f t="shared" si="7"/>
        <v>0</v>
      </c>
      <c r="P18" s="135"/>
    </row>
    <row r="19" spans="1:16" ht="36.75" customHeight="1">
      <c r="A19" s="53" t="s">
        <v>195</v>
      </c>
      <c r="B19" s="47">
        <v>1625</v>
      </c>
      <c r="C19" s="68">
        <v>376</v>
      </c>
      <c r="D19" s="68">
        <v>1479</v>
      </c>
      <c r="E19" s="45">
        <f t="shared" si="4"/>
        <v>-146</v>
      </c>
      <c r="F19" s="135">
        <f>ROUND(E19/B19*100,2)</f>
        <v>-8.98</v>
      </c>
      <c r="G19" s="45">
        <f t="shared" si="5"/>
        <v>1103</v>
      </c>
      <c r="H19" s="135">
        <f>ROUND(G19/C19*100,2)</f>
        <v>293.35</v>
      </c>
      <c r="I19" s="53" t="s">
        <v>196</v>
      </c>
      <c r="J19" s="47"/>
      <c r="K19" s="68"/>
      <c r="L19" s="55">
        <v>192</v>
      </c>
      <c r="M19" s="45">
        <f t="shared" si="6"/>
        <v>192</v>
      </c>
      <c r="N19" s="135"/>
      <c r="O19" s="45">
        <f t="shared" si="7"/>
        <v>192</v>
      </c>
      <c r="P19" s="135"/>
    </row>
    <row r="20" spans="1:16" ht="36.75" customHeight="1">
      <c r="A20" s="53" t="s">
        <v>197</v>
      </c>
      <c r="B20" s="47"/>
      <c r="C20" s="47"/>
      <c r="D20" s="68"/>
      <c r="E20" s="45">
        <f t="shared" si="4"/>
        <v>0</v>
      </c>
      <c r="F20" s="135"/>
      <c r="G20" s="45">
        <f t="shared" si="5"/>
        <v>0</v>
      </c>
      <c r="H20" s="135"/>
      <c r="I20" s="53" t="s">
        <v>198</v>
      </c>
      <c r="J20" s="47">
        <v>1560</v>
      </c>
      <c r="K20" s="68">
        <v>1479</v>
      </c>
      <c r="L20" s="55">
        <f>1950-192</f>
        <v>1758</v>
      </c>
      <c r="M20" s="45">
        <f t="shared" si="6"/>
        <v>198</v>
      </c>
      <c r="N20" s="135">
        <f>ROUND(M20/J20*100,2)</f>
        <v>12.69</v>
      </c>
      <c r="O20" s="45">
        <f t="shared" si="7"/>
        <v>279</v>
      </c>
      <c r="P20" s="135">
        <f>ROUND(O20/K20*100,2)</f>
        <v>18.86</v>
      </c>
    </row>
    <row r="21" spans="1:16" ht="36.75" customHeight="1">
      <c r="A21" s="48"/>
      <c r="B21" s="47"/>
      <c r="C21" s="47"/>
      <c r="D21" s="68"/>
      <c r="E21" s="45">
        <f t="shared" si="4"/>
        <v>0</v>
      </c>
      <c r="F21" s="135"/>
      <c r="G21" s="45">
        <f t="shared" si="5"/>
        <v>0</v>
      </c>
      <c r="H21" s="135"/>
      <c r="I21" s="44"/>
      <c r="J21" s="47"/>
      <c r="K21" s="47"/>
      <c r="L21" s="55"/>
      <c r="M21" s="45">
        <f t="shared" si="6"/>
        <v>0</v>
      </c>
      <c r="N21" s="135"/>
      <c r="O21" s="45">
        <f t="shared" si="7"/>
        <v>0</v>
      </c>
      <c r="P21" s="135"/>
    </row>
    <row r="22" spans="1:16" s="39" customFormat="1" ht="36.75" customHeight="1">
      <c r="A22" s="78" t="s">
        <v>140</v>
      </c>
      <c r="B22" s="50">
        <f>B17+B18+B19+B20+B15</f>
        <v>20565</v>
      </c>
      <c r="C22" s="50">
        <f>C17+C18+C19+C20+C15</f>
        <v>16903</v>
      </c>
      <c r="D22" s="79">
        <f>D17+D18+D19+D20+D15</f>
        <v>6639</v>
      </c>
      <c r="E22" s="50">
        <f t="shared" si="4"/>
        <v>-13926</v>
      </c>
      <c r="F22" s="140">
        <f>ROUND(E22/B22*100,2)</f>
        <v>-67.72</v>
      </c>
      <c r="G22" s="50">
        <f t="shared" si="5"/>
        <v>-10264</v>
      </c>
      <c r="H22" s="140">
        <f>ROUND(G22/C22*100,2)</f>
        <v>-60.72</v>
      </c>
      <c r="I22" s="78" t="s">
        <v>141</v>
      </c>
      <c r="J22" s="50">
        <f>J20+J19+J18+J17+J15</f>
        <v>20565</v>
      </c>
      <c r="K22" s="50">
        <f>K20+K19+K18+K17+K15</f>
        <v>16903</v>
      </c>
      <c r="L22" s="141">
        <f>L20+L19+L18+L17+L15</f>
        <v>6639</v>
      </c>
      <c r="M22" s="50">
        <f t="shared" si="6"/>
        <v>-13926</v>
      </c>
      <c r="N22" s="140">
        <f>ROUND(M22/J22*100,2)</f>
        <v>-67.72</v>
      </c>
      <c r="O22" s="50">
        <f t="shared" si="7"/>
        <v>-10264</v>
      </c>
      <c r="P22" s="140">
        <f>ROUND(O22/K22*100,2)</f>
        <v>-60.72</v>
      </c>
    </row>
  </sheetData>
  <mergeCells count="18">
    <mergeCell ref="A2:P2"/>
    <mergeCell ref="F3:J3"/>
    <mergeCell ref="A4:H4"/>
    <mergeCell ref="I4:P4"/>
    <mergeCell ref="L5:P5"/>
    <mergeCell ref="E6:F6"/>
    <mergeCell ref="G6:H6"/>
    <mergeCell ref="M6:N6"/>
    <mergeCell ref="O6:P6"/>
    <mergeCell ref="I5:I7"/>
    <mergeCell ref="J5:J7"/>
    <mergeCell ref="K5:K7"/>
    <mergeCell ref="L6:L7"/>
    <mergeCell ref="A5:A7"/>
    <mergeCell ref="B5:B7"/>
    <mergeCell ref="C5:C7"/>
    <mergeCell ref="D6:D7"/>
    <mergeCell ref="D5:H5"/>
  </mergeCells>
  <printOptions/>
  <pageMargins left="0.8" right="0.4597222222222222" top="0.7895833333333333" bottom="1" header="0.5" footer="0.5"/>
  <pageSetup fitToHeight="1" fitToWidth="1" horizontalDpi="600" verticalDpi="600" orientation="landscape" paperSize="8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showZeros="0" zoomScale="70" zoomScaleNormal="70" workbookViewId="0" topLeftCell="A1">
      <pane xSplit="1" ySplit="7" topLeftCell="B6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42" sqref="H142"/>
    </sheetView>
  </sheetViews>
  <sheetFormatPr defaultColWidth="9.00390625" defaultRowHeight="14.25"/>
  <cols>
    <col min="1" max="1" width="39.875" style="62" customWidth="1"/>
    <col min="2" max="2" width="16.125" style="62" customWidth="1"/>
    <col min="3" max="3" width="15.875" style="62" customWidth="1"/>
    <col min="4" max="4" width="14.00390625" style="63" customWidth="1"/>
    <col min="5" max="5" width="13.25390625" style="63" customWidth="1"/>
    <col min="6" max="6" width="43.625" style="62" customWidth="1"/>
    <col min="7" max="7" width="17.00390625" style="63" customWidth="1"/>
    <col min="8" max="8" width="17.25390625" style="62" customWidth="1"/>
    <col min="9" max="9" width="15.00390625" style="63" customWidth="1"/>
    <col min="10" max="10" width="16.125" style="63" customWidth="1"/>
    <col min="11" max="11" width="9.00390625" style="62" hidden="1" customWidth="1"/>
    <col min="12" max="16384" width="9.00390625" style="62" customWidth="1"/>
  </cols>
  <sheetData>
    <row r="1" ht="26.25" customHeight="1">
      <c r="A1" s="58" t="s">
        <v>199</v>
      </c>
    </row>
    <row r="2" spans="1:10" s="58" customFormat="1" ht="38.25" customHeight="1">
      <c r="A2" s="210" t="s">
        <v>200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25.5" customHeight="1">
      <c r="A3" s="62" t="s">
        <v>8</v>
      </c>
      <c r="C3" s="222"/>
      <c r="D3" s="222"/>
      <c r="E3" s="222"/>
      <c r="F3" s="222"/>
      <c r="I3" s="223" t="s">
        <v>9</v>
      </c>
      <c r="J3" s="223"/>
    </row>
    <row r="4" spans="1:10" ht="22.5" customHeight="1">
      <c r="A4" s="196" t="s">
        <v>10</v>
      </c>
      <c r="B4" s="197"/>
      <c r="C4" s="197"/>
      <c r="D4" s="197"/>
      <c r="E4" s="198"/>
      <c r="F4" s="199" t="s">
        <v>201</v>
      </c>
      <c r="G4" s="199"/>
      <c r="H4" s="199"/>
      <c r="I4" s="199"/>
      <c r="J4" s="199"/>
    </row>
    <row r="5" spans="1:10" ht="23.25" customHeight="1">
      <c r="A5" s="188" t="s">
        <v>12</v>
      </c>
      <c r="B5" s="174" t="s">
        <v>202</v>
      </c>
      <c r="C5" s="188" t="s">
        <v>16</v>
      </c>
      <c r="D5" s="218" t="s">
        <v>203</v>
      </c>
      <c r="E5" s="219"/>
      <c r="F5" s="188" t="s">
        <v>12</v>
      </c>
      <c r="G5" s="174" t="s">
        <v>202</v>
      </c>
      <c r="H5" s="188" t="s">
        <v>16</v>
      </c>
      <c r="I5" s="218" t="s">
        <v>203</v>
      </c>
      <c r="J5" s="219"/>
    </row>
    <row r="6" spans="1:10" ht="23.25" customHeight="1">
      <c r="A6" s="189"/>
      <c r="B6" s="189"/>
      <c r="C6" s="189"/>
      <c r="D6" s="220"/>
      <c r="E6" s="221"/>
      <c r="F6" s="189"/>
      <c r="G6" s="189"/>
      <c r="H6" s="189"/>
      <c r="I6" s="220"/>
      <c r="J6" s="221"/>
    </row>
    <row r="7" spans="1:10" ht="30" customHeight="1">
      <c r="A7" s="175"/>
      <c r="B7" s="175"/>
      <c r="C7" s="175"/>
      <c r="D7" s="64" t="s">
        <v>20</v>
      </c>
      <c r="E7" s="64" t="s">
        <v>21</v>
      </c>
      <c r="F7" s="175"/>
      <c r="G7" s="175"/>
      <c r="H7" s="175"/>
      <c r="I7" s="64" t="s">
        <v>20</v>
      </c>
      <c r="J7" s="64" t="s">
        <v>21</v>
      </c>
    </row>
    <row r="8" spans="1:11" ht="30" customHeight="1">
      <c r="A8" s="65" t="s">
        <v>23</v>
      </c>
      <c r="B8" s="45">
        <f>SUM(B9:B23)</f>
        <v>29750</v>
      </c>
      <c r="C8" s="66">
        <f>SUM(C9:C23)</f>
        <v>27734</v>
      </c>
      <c r="D8" s="45">
        <f aca="true" t="shared" si="0" ref="D8:D71">B8-C8</f>
        <v>2016</v>
      </c>
      <c r="E8" s="46">
        <f aca="true" t="shared" si="1" ref="E8:E71">ROUND(D8/C8*100,2)</f>
        <v>7.27</v>
      </c>
      <c r="F8" s="67" t="s">
        <v>24</v>
      </c>
      <c r="G8" s="45">
        <f>9819+22</f>
        <v>9841</v>
      </c>
      <c r="H8" s="66">
        <v>9745</v>
      </c>
      <c r="I8" s="66">
        <f aca="true" t="shared" si="2" ref="I8:I34">G8-H8</f>
        <v>96</v>
      </c>
      <c r="J8" s="70">
        <f aca="true" t="shared" si="3" ref="J8:J71">ROUND(I8/H8*100,2)</f>
        <v>0.99</v>
      </c>
      <c r="K8" s="100">
        <f aca="true" t="shared" si="4" ref="K8:K28">G8/G$31*100</f>
        <v>13.288412979191705</v>
      </c>
    </row>
    <row r="9" spans="1:11" ht="30" customHeight="1">
      <c r="A9" s="65" t="s">
        <v>204</v>
      </c>
      <c r="B9" s="68">
        <v>4600</v>
      </c>
      <c r="C9" s="69">
        <f>4440-60</f>
        <v>4380</v>
      </c>
      <c r="D9" s="66">
        <f t="shared" si="0"/>
        <v>220</v>
      </c>
      <c r="E9" s="70">
        <f t="shared" si="1"/>
        <v>5.02</v>
      </c>
      <c r="F9" s="67" t="s">
        <v>26</v>
      </c>
      <c r="G9" s="68"/>
      <c r="H9" s="66"/>
      <c r="I9" s="66">
        <f t="shared" si="2"/>
        <v>0</v>
      </c>
      <c r="J9" s="70" t="e">
        <f t="shared" si="3"/>
        <v>#DIV/0!</v>
      </c>
      <c r="K9" s="100">
        <f t="shared" si="4"/>
        <v>0</v>
      </c>
    </row>
    <row r="10" spans="1:11" ht="30" customHeight="1">
      <c r="A10" s="65" t="s">
        <v>205</v>
      </c>
      <c r="B10" s="68">
        <v>9000</v>
      </c>
      <c r="C10" s="71">
        <f>8187+60</f>
        <v>8247</v>
      </c>
      <c r="D10" s="66">
        <f t="shared" si="0"/>
        <v>753</v>
      </c>
      <c r="E10" s="70">
        <f t="shared" si="1"/>
        <v>9.13</v>
      </c>
      <c r="F10" s="67" t="s">
        <v>28</v>
      </c>
      <c r="G10" s="47">
        <v>7193</v>
      </c>
      <c r="H10" s="66">
        <v>7122</v>
      </c>
      <c r="I10" s="66">
        <f t="shared" si="2"/>
        <v>71</v>
      </c>
      <c r="J10" s="70">
        <f t="shared" si="3"/>
        <v>1</v>
      </c>
      <c r="K10" s="100">
        <f t="shared" si="4"/>
        <v>9.712788797817897</v>
      </c>
    </row>
    <row r="11" spans="1:11" ht="30" customHeight="1">
      <c r="A11" s="65" t="s">
        <v>29</v>
      </c>
      <c r="B11" s="68">
        <v>3400</v>
      </c>
      <c r="C11" s="71">
        <v>3369</v>
      </c>
      <c r="D11" s="66">
        <f t="shared" si="0"/>
        <v>31</v>
      </c>
      <c r="E11" s="70">
        <f t="shared" si="1"/>
        <v>0.92</v>
      </c>
      <c r="F11" s="67" t="s">
        <v>30</v>
      </c>
      <c r="G11" s="68">
        <f>21807+100</f>
        <v>21907</v>
      </c>
      <c r="H11" s="66">
        <f>20498+482</f>
        <v>20980</v>
      </c>
      <c r="I11" s="66">
        <f t="shared" si="2"/>
        <v>927</v>
      </c>
      <c r="J11" s="70">
        <f t="shared" si="3"/>
        <v>4.42</v>
      </c>
      <c r="K11" s="100">
        <f t="shared" si="4"/>
        <v>29.58126848238519</v>
      </c>
    </row>
    <row r="12" spans="1:11" ht="30" customHeight="1">
      <c r="A12" s="65" t="s">
        <v>31</v>
      </c>
      <c r="B12" s="68">
        <v>1500</v>
      </c>
      <c r="C12" s="72">
        <v>1181</v>
      </c>
      <c r="D12" s="66">
        <f t="shared" si="0"/>
        <v>319</v>
      </c>
      <c r="E12" s="70">
        <f t="shared" si="1"/>
        <v>27.01</v>
      </c>
      <c r="F12" s="67" t="s">
        <v>32</v>
      </c>
      <c r="G12" s="68">
        <f>1379+10</f>
        <v>1389</v>
      </c>
      <c r="H12" s="66">
        <v>1333</v>
      </c>
      <c r="I12" s="66">
        <f t="shared" si="2"/>
        <v>56</v>
      </c>
      <c r="J12" s="70">
        <f t="shared" si="3"/>
        <v>4.2</v>
      </c>
      <c r="K12" s="100">
        <f t="shared" si="4"/>
        <v>1.8755823217251575</v>
      </c>
    </row>
    <row r="13" spans="1:11" ht="30.75" customHeight="1">
      <c r="A13" s="65" t="s">
        <v>33</v>
      </c>
      <c r="B13" s="68">
        <v>2000</v>
      </c>
      <c r="C13" s="72">
        <v>1746</v>
      </c>
      <c r="D13" s="66">
        <f t="shared" si="0"/>
        <v>254</v>
      </c>
      <c r="E13" s="70">
        <f t="shared" si="1"/>
        <v>14.55</v>
      </c>
      <c r="F13" s="67" t="s">
        <v>34</v>
      </c>
      <c r="G13" s="68">
        <v>971</v>
      </c>
      <c r="H13" s="66">
        <v>935</v>
      </c>
      <c r="I13" s="66">
        <f t="shared" si="2"/>
        <v>36</v>
      </c>
      <c r="J13" s="70">
        <f t="shared" si="3"/>
        <v>3.85</v>
      </c>
      <c r="K13" s="100">
        <f t="shared" si="4"/>
        <v>1.3111522205868453</v>
      </c>
    </row>
    <row r="14" spans="1:11" ht="30" customHeight="1">
      <c r="A14" s="65" t="s">
        <v>35</v>
      </c>
      <c r="B14" s="68">
        <v>910</v>
      </c>
      <c r="C14" s="72">
        <v>755</v>
      </c>
      <c r="D14" s="66">
        <f t="shared" si="0"/>
        <v>155</v>
      </c>
      <c r="E14" s="70">
        <f t="shared" si="1"/>
        <v>20.53</v>
      </c>
      <c r="F14" s="67" t="s">
        <v>36</v>
      </c>
      <c r="G14" s="68">
        <v>9291</v>
      </c>
      <c r="H14" s="66">
        <v>9112</v>
      </c>
      <c r="I14" s="66">
        <f t="shared" si="2"/>
        <v>179</v>
      </c>
      <c r="J14" s="70">
        <f t="shared" si="3"/>
        <v>1.96</v>
      </c>
      <c r="K14" s="100">
        <f t="shared" si="4"/>
        <v>12.545741793483398</v>
      </c>
    </row>
    <row r="15" spans="1:11" ht="30" customHeight="1">
      <c r="A15" s="65" t="s">
        <v>37</v>
      </c>
      <c r="B15" s="68">
        <v>400</v>
      </c>
      <c r="C15" s="72">
        <v>351</v>
      </c>
      <c r="D15" s="66">
        <f t="shared" si="0"/>
        <v>49</v>
      </c>
      <c r="E15" s="70">
        <f t="shared" si="1"/>
        <v>13.96</v>
      </c>
      <c r="F15" s="67" t="s">
        <v>38</v>
      </c>
      <c r="G15" s="68">
        <f>7536+22-22</f>
        <v>7536</v>
      </c>
      <c r="H15" s="66">
        <v>7379</v>
      </c>
      <c r="I15" s="66">
        <f t="shared" si="2"/>
        <v>157</v>
      </c>
      <c r="J15" s="70">
        <f t="shared" si="3"/>
        <v>2.13</v>
      </c>
      <c r="K15" s="100">
        <f t="shared" si="4"/>
        <v>10.175945555450532</v>
      </c>
    </row>
    <row r="16" spans="1:11" ht="30" customHeight="1">
      <c r="A16" s="65" t="s">
        <v>39</v>
      </c>
      <c r="B16" s="68">
        <v>380</v>
      </c>
      <c r="C16" s="72">
        <v>323</v>
      </c>
      <c r="D16" s="66">
        <f t="shared" si="0"/>
        <v>57</v>
      </c>
      <c r="E16" s="70">
        <f t="shared" si="1"/>
        <v>17.65</v>
      </c>
      <c r="F16" s="67" t="s">
        <v>40</v>
      </c>
      <c r="G16" s="68">
        <v>615</v>
      </c>
      <c r="H16" s="66">
        <v>437</v>
      </c>
      <c r="I16" s="66">
        <f t="shared" si="2"/>
        <v>178</v>
      </c>
      <c r="J16" s="70">
        <f t="shared" si="3"/>
        <v>40.73</v>
      </c>
      <c r="K16" s="100">
        <f t="shared" si="4"/>
        <v>0.83044141674656</v>
      </c>
    </row>
    <row r="17" spans="1:11" ht="30" customHeight="1">
      <c r="A17" s="65" t="s">
        <v>41</v>
      </c>
      <c r="B17" s="68">
        <v>280</v>
      </c>
      <c r="C17" s="72">
        <v>152</v>
      </c>
      <c r="D17" s="66">
        <f t="shared" si="0"/>
        <v>128</v>
      </c>
      <c r="E17" s="70">
        <f t="shared" si="1"/>
        <v>84.21</v>
      </c>
      <c r="F17" s="67" t="s">
        <v>42</v>
      </c>
      <c r="G17" s="68">
        <v>1817</v>
      </c>
      <c r="H17" s="66">
        <v>2344</v>
      </c>
      <c r="I17" s="66">
        <f t="shared" si="2"/>
        <v>-527</v>
      </c>
      <c r="J17" s="70">
        <f t="shared" si="3"/>
        <v>-22.48</v>
      </c>
      <c r="K17" s="100">
        <f t="shared" si="4"/>
        <v>2.4535155353308937</v>
      </c>
    </row>
    <row r="18" spans="1:11" ht="30" customHeight="1">
      <c r="A18" s="65" t="s">
        <v>43</v>
      </c>
      <c r="B18" s="68">
        <v>1600</v>
      </c>
      <c r="C18" s="72">
        <v>1883</v>
      </c>
      <c r="D18" s="66">
        <f t="shared" si="0"/>
        <v>-283</v>
      </c>
      <c r="E18" s="70">
        <f t="shared" si="1"/>
        <v>-15.03</v>
      </c>
      <c r="F18" s="67" t="s">
        <v>44</v>
      </c>
      <c r="G18" s="68">
        <v>9375</v>
      </c>
      <c r="H18" s="66">
        <v>9005</v>
      </c>
      <c r="I18" s="66">
        <f t="shared" si="2"/>
        <v>370</v>
      </c>
      <c r="J18" s="70">
        <f t="shared" si="3"/>
        <v>4.11</v>
      </c>
      <c r="K18" s="100">
        <f t="shared" si="4"/>
        <v>12.659167938209755</v>
      </c>
    </row>
    <row r="19" spans="1:11" ht="30" customHeight="1">
      <c r="A19" s="65" t="s">
        <v>45</v>
      </c>
      <c r="B19" s="68">
        <v>180</v>
      </c>
      <c r="C19" s="72">
        <v>169</v>
      </c>
      <c r="D19" s="66">
        <f t="shared" si="0"/>
        <v>11</v>
      </c>
      <c r="E19" s="70">
        <f t="shared" si="1"/>
        <v>6.51</v>
      </c>
      <c r="F19" s="67" t="s">
        <v>46</v>
      </c>
      <c r="G19" s="68">
        <v>624</v>
      </c>
      <c r="H19" s="66">
        <v>3249</v>
      </c>
      <c r="I19" s="66">
        <f t="shared" si="2"/>
        <v>-2625</v>
      </c>
      <c r="J19" s="70">
        <f t="shared" si="3"/>
        <v>-80.79</v>
      </c>
      <c r="K19" s="100">
        <f t="shared" si="4"/>
        <v>0.8425942179672414</v>
      </c>
    </row>
    <row r="20" spans="1:11" ht="30" customHeight="1">
      <c r="A20" s="65" t="s">
        <v>47</v>
      </c>
      <c r="B20" s="68">
        <v>1300</v>
      </c>
      <c r="C20" s="72">
        <v>1068</v>
      </c>
      <c r="D20" s="66">
        <f t="shared" si="0"/>
        <v>232</v>
      </c>
      <c r="E20" s="70">
        <f t="shared" si="1"/>
        <v>21.72</v>
      </c>
      <c r="F20" s="67" t="s">
        <v>48</v>
      </c>
      <c r="G20" s="47">
        <v>329</v>
      </c>
      <c r="H20" s="66">
        <v>505</v>
      </c>
      <c r="I20" s="66">
        <f t="shared" si="2"/>
        <v>-176</v>
      </c>
      <c r="J20" s="70">
        <f t="shared" si="3"/>
        <v>-34.85</v>
      </c>
      <c r="K20" s="100">
        <f t="shared" si="4"/>
        <v>0.4442524001782411</v>
      </c>
    </row>
    <row r="21" spans="1:11" ht="30" customHeight="1">
      <c r="A21" s="65" t="s">
        <v>49</v>
      </c>
      <c r="B21" s="68">
        <v>1000</v>
      </c>
      <c r="C21" s="72">
        <v>879</v>
      </c>
      <c r="D21" s="66">
        <f t="shared" si="0"/>
        <v>121</v>
      </c>
      <c r="E21" s="70">
        <f t="shared" si="1"/>
        <v>13.77</v>
      </c>
      <c r="F21" s="67" t="s">
        <v>50</v>
      </c>
      <c r="G21" s="47">
        <v>302</v>
      </c>
      <c r="H21" s="66">
        <v>344</v>
      </c>
      <c r="I21" s="66">
        <f t="shared" si="2"/>
        <v>-42</v>
      </c>
      <c r="J21" s="70">
        <f t="shared" si="3"/>
        <v>-12.21</v>
      </c>
      <c r="K21" s="100">
        <f t="shared" si="4"/>
        <v>0.40779399651619697</v>
      </c>
    </row>
    <row r="22" spans="1:11" ht="30" customHeight="1">
      <c r="A22" s="65" t="s">
        <v>51</v>
      </c>
      <c r="B22" s="68">
        <v>3200</v>
      </c>
      <c r="C22" s="72">
        <v>3231</v>
      </c>
      <c r="D22" s="66">
        <f t="shared" si="0"/>
        <v>-31</v>
      </c>
      <c r="E22" s="70">
        <f t="shared" si="1"/>
        <v>-0.96</v>
      </c>
      <c r="F22" s="67" t="s">
        <v>52</v>
      </c>
      <c r="G22" s="47"/>
      <c r="H22" s="66">
        <v>6</v>
      </c>
      <c r="I22" s="66">
        <f t="shared" si="2"/>
        <v>-6</v>
      </c>
      <c r="J22" s="74">
        <f t="shared" si="3"/>
        <v>-100</v>
      </c>
      <c r="K22" s="100">
        <f t="shared" si="4"/>
        <v>0</v>
      </c>
    </row>
    <row r="23" spans="1:11" ht="30" customHeight="1">
      <c r="A23" s="65" t="s">
        <v>53</v>
      </c>
      <c r="B23" s="68"/>
      <c r="C23" s="73"/>
      <c r="D23" s="66">
        <f t="shared" si="0"/>
        <v>0</v>
      </c>
      <c r="E23" s="74" t="e">
        <f t="shared" si="1"/>
        <v>#DIV/0!</v>
      </c>
      <c r="F23" s="75" t="s">
        <v>54</v>
      </c>
      <c r="G23" s="45"/>
      <c r="H23" s="66"/>
      <c r="I23" s="66">
        <f t="shared" si="2"/>
        <v>0</v>
      </c>
      <c r="J23" s="74" t="e">
        <f t="shared" si="3"/>
        <v>#DIV/0!</v>
      </c>
      <c r="K23" s="100">
        <f t="shared" si="4"/>
        <v>0</v>
      </c>
    </row>
    <row r="24" spans="1:11" ht="30" customHeight="1">
      <c r="A24" s="65" t="s">
        <v>55</v>
      </c>
      <c r="B24" s="45">
        <f>SUM(B25:B30)</f>
        <v>6995</v>
      </c>
      <c r="C24" s="66">
        <f>SUM(C25:C30)</f>
        <v>5666</v>
      </c>
      <c r="D24" s="66">
        <f t="shared" si="0"/>
        <v>1329</v>
      </c>
      <c r="E24" s="70">
        <f t="shared" si="1"/>
        <v>23.46</v>
      </c>
      <c r="F24" s="75" t="s">
        <v>56</v>
      </c>
      <c r="G24" s="45">
        <v>771</v>
      </c>
      <c r="H24" s="66">
        <v>288</v>
      </c>
      <c r="I24" s="66">
        <f t="shared" si="2"/>
        <v>483</v>
      </c>
      <c r="J24" s="70">
        <f t="shared" si="3"/>
        <v>167.71</v>
      </c>
      <c r="K24" s="100">
        <f t="shared" si="4"/>
        <v>1.0410899712383703</v>
      </c>
    </row>
    <row r="25" spans="1:11" ht="30" customHeight="1">
      <c r="A25" s="65" t="s">
        <v>57</v>
      </c>
      <c r="B25" s="47">
        <v>1190</v>
      </c>
      <c r="C25" s="76">
        <v>1127</v>
      </c>
      <c r="D25" s="66">
        <f t="shared" si="0"/>
        <v>63</v>
      </c>
      <c r="E25" s="70">
        <f t="shared" si="1"/>
        <v>5.59</v>
      </c>
      <c r="F25" s="77" t="s">
        <v>58</v>
      </c>
      <c r="G25" s="47">
        <v>1550</v>
      </c>
      <c r="H25" s="66">
        <v>748</v>
      </c>
      <c r="I25" s="66">
        <f t="shared" si="2"/>
        <v>802</v>
      </c>
      <c r="J25" s="70">
        <f t="shared" si="3"/>
        <v>107.22</v>
      </c>
      <c r="K25" s="100">
        <f t="shared" si="4"/>
        <v>2.09298243245068</v>
      </c>
    </row>
    <row r="26" spans="1:11" ht="30" customHeight="1">
      <c r="A26" s="65" t="s">
        <v>59</v>
      </c>
      <c r="B26" s="47">
        <v>5000</v>
      </c>
      <c r="C26" s="76">
        <v>4838</v>
      </c>
      <c r="D26" s="66">
        <f t="shared" si="0"/>
        <v>162</v>
      </c>
      <c r="E26" s="70">
        <f t="shared" si="1"/>
        <v>3.35</v>
      </c>
      <c r="F26" s="75" t="s">
        <v>60</v>
      </c>
      <c r="G26" s="47">
        <v>158</v>
      </c>
      <c r="H26" s="66">
        <v>157</v>
      </c>
      <c r="I26" s="66">
        <f t="shared" si="2"/>
        <v>1</v>
      </c>
      <c r="J26" s="70">
        <f t="shared" si="3"/>
        <v>0.64</v>
      </c>
      <c r="K26" s="100">
        <f t="shared" si="4"/>
        <v>0.21334917698529512</v>
      </c>
    </row>
    <row r="27" spans="1:11" ht="30" customHeight="1">
      <c r="A27" s="65" t="s">
        <v>61</v>
      </c>
      <c r="B27" s="47">
        <v>50</v>
      </c>
      <c r="C27" s="76">
        <v>56</v>
      </c>
      <c r="D27" s="66">
        <f t="shared" si="0"/>
        <v>-6</v>
      </c>
      <c r="E27" s="70">
        <f t="shared" si="1"/>
        <v>-10.71</v>
      </c>
      <c r="F27" s="75" t="s">
        <v>62</v>
      </c>
      <c r="G27" s="47">
        <v>224</v>
      </c>
      <c r="H27" s="66">
        <v>440</v>
      </c>
      <c r="I27" s="66">
        <f t="shared" si="2"/>
        <v>-216</v>
      </c>
      <c r="J27" s="70">
        <f t="shared" si="3"/>
        <v>-49.09</v>
      </c>
      <c r="K27" s="100">
        <f t="shared" si="4"/>
        <v>0.3024697192702918</v>
      </c>
    </row>
    <row r="28" spans="1:11" ht="30" customHeight="1">
      <c r="A28" s="65" t="s">
        <v>63</v>
      </c>
      <c r="B28" s="47">
        <v>30</v>
      </c>
      <c r="C28" s="76">
        <v>-380</v>
      </c>
      <c r="D28" s="66">
        <f t="shared" si="0"/>
        <v>410</v>
      </c>
      <c r="E28" s="70">
        <f t="shared" si="1"/>
        <v>-107.89</v>
      </c>
      <c r="F28" s="67" t="s">
        <v>64</v>
      </c>
      <c r="G28" s="68">
        <f>264-100-10-22+32</f>
        <v>164</v>
      </c>
      <c r="H28" s="66">
        <f>2450+30</f>
        <v>2480</v>
      </c>
      <c r="I28" s="66">
        <f t="shared" si="2"/>
        <v>-2316</v>
      </c>
      <c r="J28" s="70">
        <f t="shared" si="3"/>
        <v>-93.39</v>
      </c>
      <c r="K28" s="100">
        <f t="shared" si="4"/>
        <v>0.22145104446574934</v>
      </c>
    </row>
    <row r="29" spans="1:10" ht="30" customHeight="1">
      <c r="A29" s="65" t="s">
        <v>65</v>
      </c>
      <c r="B29" s="47">
        <v>-500</v>
      </c>
      <c r="C29" s="76">
        <v>25</v>
      </c>
      <c r="D29" s="66">
        <f t="shared" si="0"/>
        <v>-525</v>
      </c>
      <c r="E29" s="70">
        <f t="shared" si="1"/>
        <v>-2100</v>
      </c>
      <c r="F29" s="65"/>
      <c r="G29" s="68"/>
      <c r="H29" s="66"/>
      <c r="I29" s="66">
        <f t="shared" si="2"/>
        <v>0</v>
      </c>
      <c r="J29" s="74" t="e">
        <f t="shared" si="3"/>
        <v>#DIV/0!</v>
      </c>
    </row>
    <row r="30" spans="1:10" ht="30" customHeight="1">
      <c r="A30" s="65" t="s">
        <v>206</v>
      </c>
      <c r="B30" s="47">
        <v>1225</v>
      </c>
      <c r="C30" s="76"/>
      <c r="D30" s="66">
        <f t="shared" si="0"/>
        <v>1225</v>
      </c>
      <c r="E30" s="74" t="e">
        <f t="shared" si="1"/>
        <v>#DIV/0!</v>
      </c>
      <c r="F30" s="65"/>
      <c r="G30" s="68"/>
      <c r="H30" s="66"/>
      <c r="I30" s="66">
        <f t="shared" si="2"/>
        <v>0</v>
      </c>
      <c r="J30" s="74" t="e">
        <f t="shared" si="3"/>
        <v>#DIV/0!</v>
      </c>
    </row>
    <row r="31" spans="1:10" s="59" customFormat="1" ht="30" customHeight="1">
      <c r="A31" s="78" t="s">
        <v>67</v>
      </c>
      <c r="B31" s="50">
        <f>B8+B24</f>
        <v>36745</v>
      </c>
      <c r="C31" s="79">
        <f>C8+C24</f>
        <v>33400</v>
      </c>
      <c r="D31" s="79">
        <f t="shared" si="0"/>
        <v>3345</v>
      </c>
      <c r="E31" s="80">
        <f t="shared" si="1"/>
        <v>10.01</v>
      </c>
      <c r="F31" s="78" t="s">
        <v>68</v>
      </c>
      <c r="G31" s="79">
        <f>SUM(G8:G30)</f>
        <v>74057</v>
      </c>
      <c r="H31" s="79">
        <f>SUM(H8:H30)</f>
        <v>76609</v>
      </c>
      <c r="I31" s="79">
        <f t="shared" si="2"/>
        <v>-2552</v>
      </c>
      <c r="J31" s="80">
        <f t="shared" si="3"/>
        <v>-3.33</v>
      </c>
    </row>
    <row r="32" spans="1:10" ht="32.25" customHeight="1" hidden="1">
      <c r="A32" s="81"/>
      <c r="B32" s="66"/>
      <c r="C32" s="66"/>
      <c r="D32" s="66">
        <f t="shared" si="0"/>
        <v>0</v>
      </c>
      <c r="E32" s="70" t="e">
        <f t="shared" si="1"/>
        <v>#DIV/0!</v>
      </c>
      <c r="F32" s="81"/>
      <c r="G32" s="66"/>
      <c r="H32" s="68"/>
      <c r="I32" s="66">
        <f t="shared" si="2"/>
        <v>0</v>
      </c>
      <c r="J32" s="70" t="e">
        <f t="shared" si="3"/>
        <v>#DIV/0!</v>
      </c>
    </row>
    <row r="33" spans="1:10" s="59" customFormat="1" ht="32.25" customHeight="1">
      <c r="A33" s="82" t="s">
        <v>207</v>
      </c>
      <c r="B33" s="50">
        <f>B34+B35</f>
        <v>26215</v>
      </c>
      <c r="C33" s="50">
        <f>C34+C35</f>
        <v>26825</v>
      </c>
      <c r="D33" s="79">
        <f t="shared" si="0"/>
        <v>-610</v>
      </c>
      <c r="E33" s="80">
        <f t="shared" si="1"/>
        <v>-2.27</v>
      </c>
      <c r="F33" s="82" t="s">
        <v>70</v>
      </c>
      <c r="G33" s="79">
        <v>464</v>
      </c>
      <c r="H33" s="79">
        <v>464</v>
      </c>
      <c r="I33" s="79">
        <f t="shared" si="2"/>
        <v>0</v>
      </c>
      <c r="J33" s="80">
        <f t="shared" si="3"/>
        <v>0</v>
      </c>
    </row>
    <row r="34" spans="1:10" s="59" customFormat="1" ht="32.25" customHeight="1">
      <c r="A34" s="67" t="s">
        <v>71</v>
      </c>
      <c r="B34" s="47">
        <v>1952</v>
      </c>
      <c r="C34" s="47">
        <v>1952</v>
      </c>
      <c r="D34" s="79">
        <f t="shared" si="0"/>
        <v>0</v>
      </c>
      <c r="E34" s="80">
        <f t="shared" si="1"/>
        <v>0</v>
      </c>
      <c r="F34" s="82" t="s">
        <v>72</v>
      </c>
      <c r="G34" s="79"/>
      <c r="H34" s="79">
        <v>2879</v>
      </c>
      <c r="I34" s="79">
        <f t="shared" si="2"/>
        <v>-2879</v>
      </c>
      <c r="J34" s="80">
        <f t="shared" si="3"/>
        <v>-100</v>
      </c>
    </row>
    <row r="35" spans="1:10" s="59" customFormat="1" ht="32.25" customHeight="1">
      <c r="A35" s="67" t="s">
        <v>73</v>
      </c>
      <c r="B35" s="83">
        <f>SUM(B36,B37,B38,B44,B45,B52,B55,B56,B60,B68,B73,B75)</f>
        <v>24263</v>
      </c>
      <c r="C35" s="83">
        <f>SUM(C36,C37,C38,C44,C45,C52,C55,C56,C60,C68,C73,C74,C75)</f>
        <v>24873</v>
      </c>
      <c r="D35" s="66">
        <f t="shared" si="0"/>
        <v>-610</v>
      </c>
      <c r="E35" s="70">
        <f t="shared" si="1"/>
        <v>-2.45</v>
      </c>
      <c r="F35" s="82"/>
      <c r="G35" s="79"/>
      <c r="H35" s="79"/>
      <c r="I35" s="79"/>
      <c r="J35" s="93" t="e">
        <f t="shared" si="3"/>
        <v>#DIV/0!</v>
      </c>
    </row>
    <row r="36" spans="1:10" s="59" customFormat="1" ht="32.25" customHeight="1">
      <c r="A36" s="67" t="s">
        <v>74</v>
      </c>
      <c r="B36" s="47">
        <v>2055</v>
      </c>
      <c r="C36" s="47">
        <v>2055</v>
      </c>
      <c r="D36" s="79">
        <f t="shared" si="0"/>
        <v>0</v>
      </c>
      <c r="E36" s="80">
        <f t="shared" si="1"/>
        <v>0</v>
      </c>
      <c r="F36" s="82"/>
      <c r="G36" s="79"/>
      <c r="H36" s="79"/>
      <c r="I36" s="79"/>
      <c r="J36" s="93" t="e">
        <f t="shared" si="3"/>
        <v>#DIV/0!</v>
      </c>
    </row>
    <row r="37" spans="1:10" s="59" customFormat="1" ht="32.25" customHeight="1">
      <c r="A37" s="67" t="s">
        <v>75</v>
      </c>
      <c r="B37" s="47">
        <v>2015</v>
      </c>
      <c r="C37" s="47">
        <v>2015</v>
      </c>
      <c r="D37" s="79">
        <f t="shared" si="0"/>
        <v>0</v>
      </c>
      <c r="E37" s="80">
        <f t="shared" si="1"/>
        <v>0</v>
      </c>
      <c r="F37" s="82"/>
      <c r="G37" s="79"/>
      <c r="H37" s="79"/>
      <c r="I37" s="79"/>
      <c r="J37" s="93" t="e">
        <f t="shared" si="3"/>
        <v>#DIV/0!</v>
      </c>
    </row>
    <row r="38" spans="1:10" s="59" customFormat="1" ht="32.25" customHeight="1">
      <c r="A38" s="67" t="s">
        <v>76</v>
      </c>
      <c r="B38" s="83">
        <f>SUM(B39:B43)</f>
        <v>1668</v>
      </c>
      <c r="C38" s="83">
        <f>SUM(C39:C43)</f>
        <v>2112</v>
      </c>
      <c r="D38" s="66">
        <f t="shared" si="0"/>
        <v>-444</v>
      </c>
      <c r="E38" s="70">
        <f t="shared" si="1"/>
        <v>-21.02</v>
      </c>
      <c r="F38" s="82"/>
      <c r="G38" s="79"/>
      <c r="H38" s="79"/>
      <c r="I38" s="79"/>
      <c r="J38" s="93" t="e">
        <f t="shared" si="3"/>
        <v>#DIV/0!</v>
      </c>
    </row>
    <row r="39" spans="1:10" s="59" customFormat="1" ht="32.25" customHeight="1" hidden="1">
      <c r="A39" s="67" t="s">
        <v>77</v>
      </c>
      <c r="B39" s="83">
        <v>1415</v>
      </c>
      <c r="C39" s="47">
        <v>1504</v>
      </c>
      <c r="D39" s="79">
        <f t="shared" si="0"/>
        <v>-89</v>
      </c>
      <c r="E39" s="80">
        <f t="shared" si="1"/>
        <v>-5.92</v>
      </c>
      <c r="F39" s="82"/>
      <c r="G39" s="79"/>
      <c r="H39" s="79"/>
      <c r="I39" s="79"/>
      <c r="J39" s="93" t="e">
        <f t="shared" si="3"/>
        <v>#DIV/0!</v>
      </c>
    </row>
    <row r="40" spans="1:10" s="59" customFormat="1" ht="32.25" customHeight="1" hidden="1">
      <c r="A40" s="67" t="s">
        <v>78</v>
      </c>
      <c r="B40" s="83">
        <v>13</v>
      </c>
      <c r="C40" s="47">
        <v>13</v>
      </c>
      <c r="D40" s="79">
        <f t="shared" si="0"/>
        <v>0</v>
      </c>
      <c r="E40" s="80">
        <f t="shared" si="1"/>
        <v>0</v>
      </c>
      <c r="F40" s="82"/>
      <c r="G40" s="79"/>
      <c r="H40" s="79"/>
      <c r="I40" s="79"/>
      <c r="J40" s="93" t="e">
        <f t="shared" si="3"/>
        <v>#DIV/0!</v>
      </c>
    </row>
    <row r="41" spans="1:10" s="59" customFormat="1" ht="42.75" customHeight="1" hidden="1">
      <c r="A41" s="84" t="s">
        <v>79</v>
      </c>
      <c r="B41" s="83">
        <v>151</v>
      </c>
      <c r="C41" s="47">
        <v>151</v>
      </c>
      <c r="D41" s="79">
        <f t="shared" si="0"/>
        <v>0</v>
      </c>
      <c r="E41" s="80">
        <f t="shared" si="1"/>
        <v>0</v>
      </c>
      <c r="F41" s="82"/>
      <c r="G41" s="79"/>
      <c r="H41" s="79"/>
      <c r="I41" s="79"/>
      <c r="J41" s="93" t="e">
        <f t="shared" si="3"/>
        <v>#DIV/0!</v>
      </c>
    </row>
    <row r="42" spans="1:10" s="59" customFormat="1" ht="32.25" customHeight="1" hidden="1">
      <c r="A42" s="67" t="s">
        <v>80</v>
      </c>
      <c r="B42" s="83">
        <v>89</v>
      </c>
      <c r="C42" s="47">
        <v>444</v>
      </c>
      <c r="D42" s="79">
        <f t="shared" si="0"/>
        <v>-355</v>
      </c>
      <c r="E42" s="80">
        <f t="shared" si="1"/>
        <v>-79.95</v>
      </c>
      <c r="F42" s="82"/>
      <c r="G42" s="79"/>
      <c r="H42" s="79"/>
      <c r="I42" s="79"/>
      <c r="J42" s="93" t="e">
        <f t="shared" si="3"/>
        <v>#DIV/0!</v>
      </c>
    </row>
    <row r="43" spans="1:10" s="60" customFormat="1" ht="32.25" customHeight="1" hidden="1">
      <c r="A43" s="85" t="s">
        <v>81</v>
      </c>
      <c r="B43" s="86"/>
      <c r="C43" s="86"/>
      <c r="D43" s="87">
        <f t="shared" si="0"/>
        <v>0</v>
      </c>
      <c r="E43" s="88" t="e">
        <f t="shared" si="1"/>
        <v>#DIV/0!</v>
      </c>
      <c r="F43" s="89"/>
      <c r="G43" s="87"/>
      <c r="H43" s="87"/>
      <c r="I43" s="87"/>
      <c r="J43" s="93" t="e">
        <f t="shared" si="3"/>
        <v>#DIV/0!</v>
      </c>
    </row>
    <row r="44" spans="1:10" s="59" customFormat="1" ht="32.25" customHeight="1">
      <c r="A44" s="67" t="s">
        <v>82</v>
      </c>
      <c r="B44" s="47">
        <v>5647</v>
      </c>
      <c r="C44" s="47">
        <v>5647</v>
      </c>
      <c r="D44" s="79">
        <f t="shared" si="0"/>
        <v>0</v>
      </c>
      <c r="E44" s="80">
        <f t="shared" si="1"/>
        <v>0</v>
      </c>
      <c r="F44" s="82"/>
      <c r="G44" s="79"/>
      <c r="H44" s="79"/>
      <c r="I44" s="79"/>
      <c r="J44" s="93" t="e">
        <f t="shared" si="3"/>
        <v>#DIV/0!</v>
      </c>
    </row>
    <row r="45" spans="1:10" s="59" customFormat="1" ht="32.25" customHeight="1">
      <c r="A45" s="67" t="s">
        <v>83</v>
      </c>
      <c r="B45" s="83">
        <f>SUM(B46:B51)</f>
        <v>417</v>
      </c>
      <c r="C45" s="83">
        <f>SUM(C46:C51)</f>
        <v>433</v>
      </c>
      <c r="D45" s="66">
        <f t="shared" si="0"/>
        <v>-16</v>
      </c>
      <c r="E45" s="70">
        <f t="shared" si="1"/>
        <v>-3.7</v>
      </c>
      <c r="F45" s="82"/>
      <c r="G45" s="79"/>
      <c r="H45" s="79"/>
      <c r="I45" s="79"/>
      <c r="J45" s="93" t="e">
        <f t="shared" si="3"/>
        <v>#DIV/0!</v>
      </c>
    </row>
    <row r="46" spans="1:10" s="59" customFormat="1" ht="35.25" customHeight="1" hidden="1">
      <c r="A46" s="67" t="s">
        <v>84</v>
      </c>
      <c r="B46" s="90">
        <v>380</v>
      </c>
      <c r="C46" s="47">
        <v>380</v>
      </c>
      <c r="D46" s="79">
        <f t="shared" si="0"/>
        <v>0</v>
      </c>
      <c r="E46" s="80">
        <f t="shared" si="1"/>
        <v>0</v>
      </c>
      <c r="F46" s="82"/>
      <c r="G46" s="79"/>
      <c r="H46" s="79"/>
      <c r="I46" s="79"/>
      <c r="J46" s="93" t="e">
        <f t="shared" si="3"/>
        <v>#DIV/0!</v>
      </c>
    </row>
    <row r="47" spans="1:10" s="59" customFormat="1" ht="35.25" customHeight="1" hidden="1">
      <c r="A47" s="91" t="s">
        <v>85</v>
      </c>
      <c r="B47" s="47"/>
      <c r="C47" s="47"/>
      <c r="D47" s="79">
        <f t="shared" si="0"/>
        <v>0</v>
      </c>
      <c r="E47" s="80" t="e">
        <f t="shared" si="1"/>
        <v>#DIV/0!</v>
      </c>
      <c r="F47" s="82"/>
      <c r="G47" s="79"/>
      <c r="H47" s="79"/>
      <c r="I47" s="79"/>
      <c r="J47" s="93" t="e">
        <f t="shared" si="3"/>
        <v>#DIV/0!</v>
      </c>
    </row>
    <row r="48" spans="1:10" s="59" customFormat="1" ht="35.25" customHeight="1" hidden="1">
      <c r="A48" s="67" t="s">
        <v>86</v>
      </c>
      <c r="B48" s="92"/>
      <c r="C48" s="47"/>
      <c r="D48" s="79">
        <f t="shared" si="0"/>
        <v>0</v>
      </c>
      <c r="E48" s="80" t="e">
        <f t="shared" si="1"/>
        <v>#DIV/0!</v>
      </c>
      <c r="F48" s="82"/>
      <c r="G48" s="79"/>
      <c r="H48" s="79"/>
      <c r="I48" s="79"/>
      <c r="J48" s="93" t="e">
        <f t="shared" si="3"/>
        <v>#DIV/0!</v>
      </c>
    </row>
    <row r="49" spans="1:10" s="59" customFormat="1" ht="35.25" customHeight="1" hidden="1">
      <c r="A49" s="84" t="s">
        <v>87</v>
      </c>
      <c r="B49" s="47"/>
      <c r="C49" s="47"/>
      <c r="D49" s="79">
        <f t="shared" si="0"/>
        <v>0</v>
      </c>
      <c r="E49" s="80" t="e">
        <f t="shared" si="1"/>
        <v>#DIV/0!</v>
      </c>
      <c r="F49" s="82"/>
      <c r="G49" s="79"/>
      <c r="H49" s="79"/>
      <c r="I49" s="79"/>
      <c r="J49" s="93" t="e">
        <f t="shared" si="3"/>
        <v>#DIV/0!</v>
      </c>
    </row>
    <row r="50" spans="1:10" s="59" customFormat="1" ht="35.25" customHeight="1" hidden="1">
      <c r="A50" s="67" t="s">
        <v>88</v>
      </c>
      <c r="B50" s="47">
        <v>2</v>
      </c>
      <c r="C50" s="47">
        <v>18</v>
      </c>
      <c r="D50" s="79">
        <f t="shared" si="0"/>
        <v>-16</v>
      </c>
      <c r="E50" s="80">
        <f t="shared" si="1"/>
        <v>-88.89</v>
      </c>
      <c r="F50" s="82"/>
      <c r="G50" s="79"/>
      <c r="H50" s="79"/>
      <c r="I50" s="79"/>
      <c r="J50" s="93" t="e">
        <f t="shared" si="3"/>
        <v>#DIV/0!</v>
      </c>
    </row>
    <row r="51" spans="1:10" s="59" customFormat="1" ht="35.25" customHeight="1" hidden="1">
      <c r="A51" s="67" t="s">
        <v>89</v>
      </c>
      <c r="B51" s="47">
        <v>35</v>
      </c>
      <c r="C51" s="47">
        <v>35</v>
      </c>
      <c r="D51" s="79">
        <f t="shared" si="0"/>
        <v>0</v>
      </c>
      <c r="E51" s="80">
        <f t="shared" si="1"/>
        <v>0</v>
      </c>
      <c r="F51" s="82"/>
      <c r="G51" s="79"/>
      <c r="H51" s="79"/>
      <c r="I51" s="79"/>
      <c r="J51" s="93" t="e">
        <f t="shared" si="3"/>
        <v>#DIV/0!</v>
      </c>
    </row>
    <row r="52" spans="1:10" s="59" customFormat="1" ht="32.25" customHeight="1">
      <c r="A52" s="67" t="s">
        <v>90</v>
      </c>
      <c r="B52" s="47">
        <f>SUM(B53:B54)</f>
        <v>0</v>
      </c>
      <c r="C52" s="47">
        <f>SUM(C53:C54)</f>
        <v>0</v>
      </c>
      <c r="D52" s="79">
        <f t="shared" si="0"/>
        <v>0</v>
      </c>
      <c r="E52" s="93" t="e">
        <f t="shared" si="1"/>
        <v>#DIV/0!</v>
      </c>
      <c r="F52" s="82"/>
      <c r="G52" s="79"/>
      <c r="H52" s="79"/>
      <c r="I52" s="79"/>
      <c r="J52" s="93" t="e">
        <f t="shared" si="3"/>
        <v>#DIV/0!</v>
      </c>
    </row>
    <row r="53" spans="1:10" s="60" customFormat="1" ht="32.25" customHeight="1" hidden="1">
      <c r="A53" s="85" t="s">
        <v>91</v>
      </c>
      <c r="B53" s="86"/>
      <c r="C53" s="86"/>
      <c r="D53" s="87">
        <f t="shared" si="0"/>
        <v>0</v>
      </c>
      <c r="E53" s="88" t="e">
        <f t="shared" si="1"/>
        <v>#DIV/0!</v>
      </c>
      <c r="F53" s="89"/>
      <c r="G53" s="87"/>
      <c r="H53" s="87"/>
      <c r="I53" s="87"/>
      <c r="J53" s="93" t="e">
        <f t="shared" si="3"/>
        <v>#DIV/0!</v>
      </c>
    </row>
    <row r="54" spans="1:10" s="60" customFormat="1" ht="32.25" customHeight="1" hidden="1">
      <c r="A54" s="85" t="s">
        <v>92</v>
      </c>
      <c r="B54" s="86"/>
      <c r="C54" s="86"/>
      <c r="D54" s="87">
        <f t="shared" si="0"/>
        <v>0</v>
      </c>
      <c r="E54" s="88" t="e">
        <f t="shared" si="1"/>
        <v>#DIV/0!</v>
      </c>
      <c r="F54" s="89"/>
      <c r="G54" s="87"/>
      <c r="H54" s="87"/>
      <c r="I54" s="87"/>
      <c r="J54" s="93" t="e">
        <f t="shared" si="3"/>
        <v>#DIV/0!</v>
      </c>
    </row>
    <row r="55" spans="1:10" ht="32.25" customHeight="1">
      <c r="A55" s="67" t="s">
        <v>93</v>
      </c>
      <c r="B55" s="47">
        <v>1505</v>
      </c>
      <c r="C55" s="47">
        <v>1505</v>
      </c>
      <c r="D55" s="66">
        <f t="shared" si="0"/>
        <v>0</v>
      </c>
      <c r="E55" s="70">
        <f t="shared" si="1"/>
        <v>0</v>
      </c>
      <c r="F55" s="67"/>
      <c r="G55" s="68"/>
      <c r="H55" s="68"/>
      <c r="I55" s="66"/>
      <c r="J55" s="74" t="e">
        <f t="shared" si="3"/>
        <v>#DIV/0!</v>
      </c>
    </row>
    <row r="56" spans="1:10" s="59" customFormat="1" ht="32.25" customHeight="1">
      <c r="A56" s="67" t="s">
        <v>94</v>
      </c>
      <c r="B56" s="83">
        <f>SUM(B57:B59)</f>
        <v>1729</v>
      </c>
      <c r="C56" s="83">
        <v>1729</v>
      </c>
      <c r="D56" s="79">
        <f t="shared" si="0"/>
        <v>0</v>
      </c>
      <c r="E56" s="80">
        <f t="shared" si="1"/>
        <v>0</v>
      </c>
      <c r="F56" s="82"/>
      <c r="G56" s="79"/>
      <c r="H56" s="79"/>
      <c r="I56" s="79"/>
      <c r="J56" s="93" t="e">
        <f t="shared" si="3"/>
        <v>#DIV/0!</v>
      </c>
    </row>
    <row r="57" spans="1:10" s="59" customFormat="1" ht="35.25" customHeight="1" hidden="1">
      <c r="A57" s="84" t="s">
        <v>95</v>
      </c>
      <c r="B57" s="47">
        <v>892</v>
      </c>
      <c r="C57" s="47">
        <v>892</v>
      </c>
      <c r="D57" s="79">
        <f t="shared" si="0"/>
        <v>0</v>
      </c>
      <c r="E57" s="80">
        <f t="shared" si="1"/>
        <v>0</v>
      </c>
      <c r="F57" s="82"/>
      <c r="G57" s="79"/>
      <c r="H57" s="79"/>
      <c r="I57" s="79"/>
      <c r="J57" s="93" t="e">
        <f t="shared" si="3"/>
        <v>#DIV/0!</v>
      </c>
    </row>
    <row r="58" spans="1:10" s="61" customFormat="1" ht="35.25" customHeight="1" hidden="1">
      <c r="A58" s="94" t="s">
        <v>96</v>
      </c>
      <c r="B58" s="86"/>
      <c r="C58" s="86"/>
      <c r="D58" s="95">
        <f t="shared" si="0"/>
        <v>0</v>
      </c>
      <c r="E58" s="96" t="e">
        <f t="shared" si="1"/>
        <v>#DIV/0!</v>
      </c>
      <c r="F58" s="97"/>
      <c r="G58" s="98"/>
      <c r="H58" s="98"/>
      <c r="I58" s="95"/>
      <c r="J58" s="74" t="e">
        <f t="shared" si="3"/>
        <v>#DIV/0!</v>
      </c>
    </row>
    <row r="59" spans="1:10" ht="35.25" customHeight="1" hidden="1">
      <c r="A59" s="67" t="s">
        <v>97</v>
      </c>
      <c r="B59" s="47">
        <v>837</v>
      </c>
      <c r="C59" s="47">
        <v>837</v>
      </c>
      <c r="D59" s="66">
        <f t="shared" si="0"/>
        <v>0</v>
      </c>
      <c r="E59" s="70">
        <f t="shared" si="1"/>
        <v>0</v>
      </c>
      <c r="F59" s="67"/>
      <c r="G59" s="68"/>
      <c r="H59" s="68"/>
      <c r="I59" s="66"/>
      <c r="J59" s="74" t="e">
        <f t="shared" si="3"/>
        <v>#DIV/0!</v>
      </c>
    </row>
    <row r="60" spans="1:10" ht="32.25" customHeight="1">
      <c r="A60" s="67" t="s">
        <v>100</v>
      </c>
      <c r="B60" s="83">
        <f>SUM(B61:B67)</f>
        <v>0</v>
      </c>
      <c r="C60" s="83">
        <f>SUM(C61:C67)</f>
        <v>0</v>
      </c>
      <c r="D60" s="66">
        <f t="shared" si="0"/>
        <v>0</v>
      </c>
      <c r="E60" s="74" t="e">
        <f t="shared" si="1"/>
        <v>#DIV/0!</v>
      </c>
      <c r="F60" s="67"/>
      <c r="G60" s="68"/>
      <c r="H60" s="68"/>
      <c r="I60" s="66"/>
      <c r="J60" s="74" t="e">
        <f t="shared" si="3"/>
        <v>#DIV/0!</v>
      </c>
    </row>
    <row r="61" spans="1:10" s="61" customFormat="1" ht="32.25" customHeight="1" hidden="1">
      <c r="A61" s="85" t="s">
        <v>101</v>
      </c>
      <c r="B61" s="99"/>
      <c r="C61" s="99"/>
      <c r="D61" s="95">
        <f t="shared" si="0"/>
        <v>0</v>
      </c>
      <c r="E61" s="74" t="e">
        <f t="shared" si="1"/>
        <v>#DIV/0!</v>
      </c>
      <c r="F61" s="85"/>
      <c r="G61" s="98"/>
      <c r="H61" s="98"/>
      <c r="I61" s="95"/>
      <c r="J61" s="74" t="e">
        <f t="shared" si="3"/>
        <v>#DIV/0!</v>
      </c>
    </row>
    <row r="62" spans="1:10" s="61" customFormat="1" ht="32.25" customHeight="1" hidden="1">
      <c r="A62" s="85" t="s">
        <v>102</v>
      </c>
      <c r="B62" s="99"/>
      <c r="C62" s="99"/>
      <c r="D62" s="95">
        <f t="shared" si="0"/>
        <v>0</v>
      </c>
      <c r="E62" s="74" t="e">
        <f t="shared" si="1"/>
        <v>#DIV/0!</v>
      </c>
      <c r="F62" s="85"/>
      <c r="G62" s="98"/>
      <c r="H62" s="98"/>
      <c r="I62" s="95"/>
      <c r="J62" s="74" t="e">
        <f t="shared" si="3"/>
        <v>#DIV/0!</v>
      </c>
    </row>
    <row r="63" spans="1:10" s="61" customFormat="1" ht="32.25" customHeight="1" hidden="1">
      <c r="A63" s="85" t="s">
        <v>103</v>
      </c>
      <c r="B63" s="99"/>
      <c r="C63" s="99"/>
      <c r="D63" s="95">
        <f t="shared" si="0"/>
        <v>0</v>
      </c>
      <c r="E63" s="74" t="e">
        <f t="shared" si="1"/>
        <v>#DIV/0!</v>
      </c>
      <c r="F63" s="85"/>
      <c r="G63" s="98"/>
      <c r="H63" s="98"/>
      <c r="I63" s="95"/>
      <c r="J63" s="74" t="e">
        <f t="shared" si="3"/>
        <v>#DIV/0!</v>
      </c>
    </row>
    <row r="64" spans="1:10" s="61" customFormat="1" ht="32.25" customHeight="1" hidden="1">
      <c r="A64" s="85" t="s">
        <v>104</v>
      </c>
      <c r="B64" s="99"/>
      <c r="C64" s="99"/>
      <c r="D64" s="95">
        <f t="shared" si="0"/>
        <v>0</v>
      </c>
      <c r="E64" s="74" t="e">
        <f t="shared" si="1"/>
        <v>#DIV/0!</v>
      </c>
      <c r="F64" s="85"/>
      <c r="G64" s="98"/>
      <c r="H64" s="98"/>
      <c r="I64" s="95"/>
      <c r="J64" s="74" t="e">
        <f t="shared" si="3"/>
        <v>#DIV/0!</v>
      </c>
    </row>
    <row r="65" spans="1:10" s="61" customFormat="1" ht="32.25" customHeight="1" hidden="1">
      <c r="A65" s="85" t="s">
        <v>105</v>
      </c>
      <c r="B65" s="99"/>
      <c r="C65" s="99"/>
      <c r="D65" s="95">
        <f t="shared" si="0"/>
        <v>0</v>
      </c>
      <c r="E65" s="74" t="e">
        <f t="shared" si="1"/>
        <v>#DIV/0!</v>
      </c>
      <c r="F65" s="85"/>
      <c r="G65" s="98"/>
      <c r="H65" s="98"/>
      <c r="I65" s="95"/>
      <c r="J65" s="74" t="e">
        <f t="shared" si="3"/>
        <v>#DIV/0!</v>
      </c>
    </row>
    <row r="66" spans="1:10" s="61" customFormat="1" ht="32.25" customHeight="1" hidden="1">
      <c r="A66" s="85" t="s">
        <v>106</v>
      </c>
      <c r="B66" s="99"/>
      <c r="C66" s="99"/>
      <c r="D66" s="95">
        <f t="shared" si="0"/>
        <v>0</v>
      </c>
      <c r="E66" s="74" t="e">
        <f t="shared" si="1"/>
        <v>#DIV/0!</v>
      </c>
      <c r="F66" s="85"/>
      <c r="G66" s="98"/>
      <c r="H66" s="98"/>
      <c r="I66" s="95"/>
      <c r="J66" s="74" t="e">
        <f t="shared" si="3"/>
        <v>#DIV/0!</v>
      </c>
    </row>
    <row r="67" spans="1:10" s="61" customFormat="1" ht="32.25" customHeight="1" hidden="1">
      <c r="A67" s="85" t="s">
        <v>107</v>
      </c>
      <c r="B67" s="99"/>
      <c r="C67" s="99"/>
      <c r="D67" s="95">
        <f t="shared" si="0"/>
        <v>0</v>
      </c>
      <c r="E67" s="74" t="e">
        <f t="shared" si="1"/>
        <v>#DIV/0!</v>
      </c>
      <c r="F67" s="85"/>
      <c r="G67" s="98"/>
      <c r="H67" s="98"/>
      <c r="I67" s="95"/>
      <c r="J67" s="74" t="e">
        <f t="shared" si="3"/>
        <v>#DIV/0!</v>
      </c>
    </row>
    <row r="68" spans="1:10" ht="32.25" customHeight="1">
      <c r="A68" s="67" t="s">
        <v>108</v>
      </c>
      <c r="B68" s="83">
        <f>SUM(B69:B72)</f>
        <v>0</v>
      </c>
      <c r="C68" s="83">
        <f>SUM(C69:C72)</f>
        <v>0</v>
      </c>
      <c r="D68" s="66">
        <f t="shared" si="0"/>
        <v>0</v>
      </c>
      <c r="E68" s="74" t="e">
        <f t="shared" si="1"/>
        <v>#DIV/0!</v>
      </c>
      <c r="F68" s="67"/>
      <c r="G68" s="68"/>
      <c r="H68" s="68"/>
      <c r="I68" s="66"/>
      <c r="J68" s="74" t="e">
        <f t="shared" si="3"/>
        <v>#DIV/0!</v>
      </c>
    </row>
    <row r="69" spans="1:10" s="61" customFormat="1" ht="32.25" customHeight="1" hidden="1">
      <c r="A69" s="85" t="s">
        <v>109</v>
      </c>
      <c r="B69" s="99"/>
      <c r="C69" s="99"/>
      <c r="D69" s="95">
        <f t="shared" si="0"/>
        <v>0</v>
      </c>
      <c r="E69" s="96" t="e">
        <f t="shared" si="1"/>
        <v>#DIV/0!</v>
      </c>
      <c r="F69" s="85"/>
      <c r="G69" s="98"/>
      <c r="H69" s="98"/>
      <c r="I69" s="95"/>
      <c r="J69" s="74" t="e">
        <f t="shared" si="3"/>
        <v>#DIV/0!</v>
      </c>
    </row>
    <row r="70" spans="1:10" s="61" customFormat="1" ht="32.25" customHeight="1" hidden="1">
      <c r="A70" s="85" t="s">
        <v>110</v>
      </c>
      <c r="B70" s="99"/>
      <c r="C70" s="99"/>
      <c r="D70" s="95">
        <f t="shared" si="0"/>
        <v>0</v>
      </c>
      <c r="E70" s="96" t="e">
        <f t="shared" si="1"/>
        <v>#DIV/0!</v>
      </c>
      <c r="F70" s="85"/>
      <c r="G70" s="98"/>
      <c r="H70" s="98"/>
      <c r="I70" s="95"/>
      <c r="J70" s="74" t="e">
        <f t="shared" si="3"/>
        <v>#DIV/0!</v>
      </c>
    </row>
    <row r="71" spans="1:10" s="61" customFormat="1" ht="32.25" customHeight="1" hidden="1">
      <c r="A71" s="85" t="s">
        <v>111</v>
      </c>
      <c r="B71" s="99"/>
      <c r="C71" s="99"/>
      <c r="D71" s="95">
        <f t="shared" si="0"/>
        <v>0</v>
      </c>
      <c r="E71" s="96" t="e">
        <f t="shared" si="1"/>
        <v>#DIV/0!</v>
      </c>
      <c r="F71" s="85"/>
      <c r="G71" s="98"/>
      <c r="H71" s="98"/>
      <c r="I71" s="95"/>
      <c r="J71" s="74" t="e">
        <f t="shared" si="3"/>
        <v>#DIV/0!</v>
      </c>
    </row>
    <row r="72" spans="1:10" s="61" customFormat="1" ht="32.25" customHeight="1" hidden="1">
      <c r="A72" s="85" t="s">
        <v>112</v>
      </c>
      <c r="B72" s="99"/>
      <c r="C72" s="99"/>
      <c r="D72" s="95">
        <f aca="true" t="shared" si="5" ref="D72:D83">B72-C72</f>
        <v>0</v>
      </c>
      <c r="E72" s="96" t="e">
        <f aca="true" t="shared" si="6" ref="E72:E88">ROUND(D72/C72*100,2)</f>
        <v>#DIV/0!</v>
      </c>
      <c r="F72" s="85"/>
      <c r="G72" s="98"/>
      <c r="H72" s="98"/>
      <c r="I72" s="95"/>
      <c r="J72" s="74" t="e">
        <f aca="true" t="shared" si="7" ref="J72:J79">ROUND(I72/H72*100,2)</f>
        <v>#DIV/0!</v>
      </c>
    </row>
    <row r="73" spans="1:10" ht="32.25" customHeight="1">
      <c r="A73" s="67" t="s">
        <v>113</v>
      </c>
      <c r="B73" s="101">
        <v>2100</v>
      </c>
      <c r="C73" s="83">
        <v>2100</v>
      </c>
      <c r="D73" s="95">
        <f t="shared" si="5"/>
        <v>0</v>
      </c>
      <c r="E73" s="96">
        <f t="shared" si="6"/>
        <v>0</v>
      </c>
      <c r="F73" s="67"/>
      <c r="G73" s="68"/>
      <c r="H73" s="68"/>
      <c r="I73" s="66"/>
      <c r="J73" s="70"/>
    </row>
    <row r="74" spans="1:10" ht="32.25" customHeight="1">
      <c r="A74" s="67" t="s">
        <v>208</v>
      </c>
      <c r="B74" s="101"/>
      <c r="C74" s="83"/>
      <c r="D74" s="95">
        <f t="shared" si="5"/>
        <v>0</v>
      </c>
      <c r="E74" s="74" t="e">
        <f t="shared" si="6"/>
        <v>#DIV/0!</v>
      </c>
      <c r="F74" s="67"/>
      <c r="G74" s="68"/>
      <c r="H74" s="68"/>
      <c r="I74" s="66"/>
      <c r="J74" s="70"/>
    </row>
    <row r="75" spans="1:10" ht="32.25" customHeight="1">
      <c r="A75" s="67" t="s">
        <v>209</v>
      </c>
      <c r="B75" s="83">
        <f>SUM(B76,B77,B85,B86,B87,B88,B90,B83)</f>
        <v>7127</v>
      </c>
      <c r="C75" s="83">
        <f>SUM(C76,C77,C85,C86,C87,C88,C90,C83)</f>
        <v>7277</v>
      </c>
      <c r="D75" s="66">
        <f t="shared" si="5"/>
        <v>-150</v>
      </c>
      <c r="E75" s="70">
        <f t="shared" si="6"/>
        <v>-2.06</v>
      </c>
      <c r="F75" s="67"/>
      <c r="G75" s="68"/>
      <c r="H75" s="68"/>
      <c r="I75" s="66"/>
      <c r="J75" s="74" t="e">
        <f t="shared" si="7"/>
        <v>#DIV/0!</v>
      </c>
    </row>
    <row r="76" spans="1:10" ht="35.25" customHeight="1" hidden="1">
      <c r="A76" s="67" t="s">
        <v>115</v>
      </c>
      <c r="B76" s="47">
        <v>862</v>
      </c>
      <c r="C76" s="47">
        <v>862</v>
      </c>
      <c r="D76" s="95">
        <f t="shared" si="5"/>
        <v>0</v>
      </c>
      <c r="E76" s="96">
        <f t="shared" si="6"/>
        <v>0</v>
      </c>
      <c r="F76" s="67"/>
      <c r="G76" s="66"/>
      <c r="H76" s="68"/>
      <c r="I76" s="66"/>
      <c r="J76" s="70" t="e">
        <f t="shared" si="7"/>
        <v>#DIV/0!</v>
      </c>
    </row>
    <row r="77" spans="1:10" ht="35.25" customHeight="1" hidden="1">
      <c r="A77" s="67" t="s">
        <v>116</v>
      </c>
      <c r="B77" s="47">
        <f>SUM(B78:B82)</f>
        <v>1266</v>
      </c>
      <c r="C77" s="47">
        <f>SUM(C78:C82)</f>
        <v>1416</v>
      </c>
      <c r="D77" s="95">
        <f t="shared" si="5"/>
        <v>-150</v>
      </c>
      <c r="E77" s="70">
        <f t="shared" si="6"/>
        <v>-10.59</v>
      </c>
      <c r="F77" s="91"/>
      <c r="G77" s="68"/>
      <c r="H77" s="68"/>
      <c r="I77" s="66"/>
      <c r="J77" s="70" t="e">
        <f t="shared" si="7"/>
        <v>#DIV/0!</v>
      </c>
    </row>
    <row r="78" spans="1:10" ht="35.25" customHeight="1" hidden="1">
      <c r="A78" s="67" t="s">
        <v>117</v>
      </c>
      <c r="B78" s="92"/>
      <c r="C78" s="47"/>
      <c r="D78" s="95">
        <f t="shared" si="5"/>
        <v>0</v>
      </c>
      <c r="E78" s="70" t="e">
        <f t="shared" si="6"/>
        <v>#DIV/0!</v>
      </c>
      <c r="F78" s="67"/>
      <c r="G78" s="68"/>
      <c r="H78" s="68"/>
      <c r="I78" s="66"/>
      <c r="J78" s="70" t="e">
        <f t="shared" si="7"/>
        <v>#DIV/0!</v>
      </c>
    </row>
    <row r="79" spans="1:10" ht="35.25" customHeight="1" hidden="1">
      <c r="A79" s="67" t="s">
        <v>118</v>
      </c>
      <c r="B79" s="47">
        <v>1266</v>
      </c>
      <c r="C79" s="47">
        <v>1266</v>
      </c>
      <c r="D79" s="95">
        <f t="shared" si="5"/>
        <v>0</v>
      </c>
      <c r="E79" s="70">
        <f t="shared" si="6"/>
        <v>0</v>
      </c>
      <c r="F79" s="67"/>
      <c r="G79" s="68"/>
      <c r="H79" s="68"/>
      <c r="I79" s="66"/>
      <c r="J79" s="70" t="e">
        <f t="shared" si="7"/>
        <v>#DIV/0!</v>
      </c>
    </row>
    <row r="80" spans="1:10" ht="35.25" customHeight="1" hidden="1">
      <c r="A80" s="67" t="s">
        <v>119</v>
      </c>
      <c r="B80" s="47"/>
      <c r="C80" s="47"/>
      <c r="D80" s="95">
        <f t="shared" si="5"/>
        <v>0</v>
      </c>
      <c r="E80" s="70" t="e">
        <f t="shared" si="6"/>
        <v>#DIV/0!</v>
      </c>
      <c r="F80" s="67"/>
      <c r="G80" s="68"/>
      <c r="H80" s="68"/>
      <c r="I80" s="66"/>
      <c r="J80" s="70"/>
    </row>
    <row r="81" spans="1:10" ht="35.25" customHeight="1" hidden="1">
      <c r="A81" s="67" t="s">
        <v>120</v>
      </c>
      <c r="B81" s="47"/>
      <c r="C81" s="47">
        <v>100</v>
      </c>
      <c r="D81" s="95">
        <f t="shared" si="5"/>
        <v>-100</v>
      </c>
      <c r="E81" s="70">
        <f t="shared" si="6"/>
        <v>-100</v>
      </c>
      <c r="F81" s="67"/>
      <c r="G81" s="68"/>
      <c r="H81" s="68"/>
      <c r="I81" s="66"/>
      <c r="J81" s="70" t="e">
        <f aca="true" t="shared" si="8" ref="J81:J88">ROUND(I81/H81*100,2)</f>
        <v>#DIV/0!</v>
      </c>
    </row>
    <row r="82" spans="1:10" ht="35.25" customHeight="1" hidden="1">
      <c r="A82" s="67" t="s">
        <v>121</v>
      </c>
      <c r="B82" s="47"/>
      <c r="C82" s="47">
        <v>50</v>
      </c>
      <c r="D82" s="95">
        <f t="shared" si="5"/>
        <v>-50</v>
      </c>
      <c r="E82" s="70">
        <f t="shared" si="6"/>
        <v>-100</v>
      </c>
      <c r="F82" s="67"/>
      <c r="G82" s="68"/>
      <c r="H82" s="68"/>
      <c r="I82" s="66"/>
      <c r="J82" s="70" t="e">
        <f t="shared" si="8"/>
        <v>#DIV/0!</v>
      </c>
    </row>
    <row r="83" spans="1:10" ht="35.25" customHeight="1" hidden="1">
      <c r="A83" s="67" t="s">
        <v>210</v>
      </c>
      <c r="B83" s="47">
        <v>139</v>
      </c>
      <c r="C83" s="47">
        <v>139</v>
      </c>
      <c r="D83" s="95">
        <f t="shared" si="5"/>
        <v>0</v>
      </c>
      <c r="E83" s="70">
        <f t="shared" si="6"/>
        <v>0</v>
      </c>
      <c r="F83" s="67"/>
      <c r="G83" s="68"/>
      <c r="H83" s="68"/>
      <c r="I83" s="66"/>
      <c r="J83" s="70"/>
    </row>
    <row r="84" spans="1:10" ht="35.25" customHeight="1" hidden="1">
      <c r="A84" s="67" t="s">
        <v>123</v>
      </c>
      <c r="B84" s="47"/>
      <c r="C84" s="47"/>
      <c r="D84" s="95"/>
      <c r="E84" s="70" t="e">
        <f t="shared" si="6"/>
        <v>#DIV/0!</v>
      </c>
      <c r="F84" s="67"/>
      <c r="G84" s="68"/>
      <c r="H84" s="68"/>
      <c r="I84" s="66"/>
      <c r="J84" s="70"/>
    </row>
    <row r="85" spans="1:10" ht="35.25" customHeight="1" hidden="1">
      <c r="A85" s="67" t="s">
        <v>124</v>
      </c>
      <c r="B85" s="47">
        <v>97</v>
      </c>
      <c r="C85" s="47">
        <v>97</v>
      </c>
      <c r="D85" s="95">
        <f>B85-C85</f>
        <v>0</v>
      </c>
      <c r="E85" s="70">
        <f t="shared" si="6"/>
        <v>0</v>
      </c>
      <c r="F85" s="67"/>
      <c r="G85" s="68"/>
      <c r="H85" s="68"/>
      <c r="I85" s="66"/>
      <c r="J85" s="70" t="e">
        <f t="shared" si="8"/>
        <v>#DIV/0!</v>
      </c>
    </row>
    <row r="86" spans="1:10" ht="35.25" customHeight="1" hidden="1">
      <c r="A86" s="67" t="s">
        <v>125</v>
      </c>
      <c r="B86" s="47">
        <v>520</v>
      </c>
      <c r="C86" s="47">
        <v>520</v>
      </c>
      <c r="D86" s="95">
        <f>B86-C86</f>
        <v>0</v>
      </c>
      <c r="E86" s="70">
        <f t="shared" si="6"/>
        <v>0</v>
      </c>
      <c r="F86" s="67"/>
      <c r="G86" s="68"/>
      <c r="H86" s="68"/>
      <c r="I86" s="66"/>
      <c r="J86" s="70" t="e">
        <f t="shared" si="8"/>
        <v>#DIV/0!</v>
      </c>
    </row>
    <row r="87" spans="1:10" ht="35.25" customHeight="1" hidden="1">
      <c r="A87" s="67" t="s">
        <v>126</v>
      </c>
      <c r="B87" s="92">
        <v>1589</v>
      </c>
      <c r="C87" s="47">
        <v>1589</v>
      </c>
      <c r="D87" s="95">
        <f>B87-C87</f>
        <v>0</v>
      </c>
      <c r="E87" s="70">
        <f t="shared" si="6"/>
        <v>0</v>
      </c>
      <c r="F87" s="67"/>
      <c r="G87" s="68"/>
      <c r="H87" s="68"/>
      <c r="I87" s="66"/>
      <c r="J87" s="70" t="e">
        <f t="shared" si="8"/>
        <v>#DIV/0!</v>
      </c>
    </row>
    <row r="88" spans="1:10" ht="35.25" customHeight="1" hidden="1">
      <c r="A88" s="67" t="s">
        <v>127</v>
      </c>
      <c r="B88" s="92">
        <v>2654</v>
      </c>
      <c r="C88" s="47">
        <v>2654</v>
      </c>
      <c r="D88" s="95">
        <f>B88-C88</f>
        <v>0</v>
      </c>
      <c r="E88" s="70">
        <f t="shared" si="6"/>
        <v>0</v>
      </c>
      <c r="F88" s="67"/>
      <c r="G88" s="68"/>
      <c r="H88" s="68"/>
      <c r="I88" s="66"/>
      <c r="J88" s="70" t="e">
        <f t="shared" si="8"/>
        <v>#DIV/0!</v>
      </c>
    </row>
    <row r="89" spans="1:10" ht="35.25" customHeight="1" hidden="1">
      <c r="A89" s="67" t="s">
        <v>128</v>
      </c>
      <c r="B89" s="92"/>
      <c r="C89" s="47"/>
      <c r="D89" s="95"/>
      <c r="E89" s="70"/>
      <c r="F89" s="67"/>
      <c r="G89" s="68"/>
      <c r="H89" s="68"/>
      <c r="I89" s="66"/>
      <c r="J89" s="70"/>
    </row>
    <row r="90" spans="1:10" ht="35.25" customHeight="1" hidden="1">
      <c r="A90" s="67" t="s">
        <v>211</v>
      </c>
      <c r="B90" s="47"/>
      <c r="C90" s="47"/>
      <c r="D90" s="95">
        <f aca="true" t="shared" si="9" ref="D90:D121">B90-C90</f>
        <v>0</v>
      </c>
      <c r="E90" s="70" t="e">
        <f aca="true" t="shared" si="10" ref="E90:E95">ROUND(D90/C90*100,2)</f>
        <v>#DIV/0!</v>
      </c>
      <c r="F90" s="67"/>
      <c r="G90" s="79"/>
      <c r="H90" s="79"/>
      <c r="I90" s="66"/>
      <c r="J90" s="70" t="e">
        <f>ROUND(I90/H90*100,2)</f>
        <v>#DIV/0!</v>
      </c>
    </row>
    <row r="91" spans="1:10" s="59" customFormat="1" ht="32.25" customHeight="1">
      <c r="A91" s="81" t="s">
        <v>130</v>
      </c>
      <c r="B91" s="78">
        <v>10000</v>
      </c>
      <c r="C91" s="78">
        <v>12600</v>
      </c>
      <c r="D91" s="79">
        <f t="shared" si="9"/>
        <v>-2600</v>
      </c>
      <c r="E91" s="80">
        <f t="shared" si="10"/>
        <v>-20.63</v>
      </c>
      <c r="F91" s="82" t="s">
        <v>131</v>
      </c>
      <c r="G91" s="79">
        <v>2052</v>
      </c>
      <c r="H91" s="78">
        <v>300</v>
      </c>
      <c r="I91" s="79">
        <f>G91-H91</f>
        <v>1752</v>
      </c>
      <c r="J91" s="80">
        <f>ROUND(I91/H91*100,2)</f>
        <v>584</v>
      </c>
    </row>
    <row r="92" spans="1:10" s="59" customFormat="1" ht="32.25" customHeight="1">
      <c r="A92" s="82" t="s">
        <v>132</v>
      </c>
      <c r="B92" s="79">
        <v>148</v>
      </c>
      <c r="C92" s="79">
        <v>1415</v>
      </c>
      <c r="D92" s="79">
        <f t="shared" si="9"/>
        <v>-1267</v>
      </c>
      <c r="E92" s="80">
        <f t="shared" si="10"/>
        <v>-89.54</v>
      </c>
      <c r="F92" s="81" t="s">
        <v>133</v>
      </c>
      <c r="G92" s="78"/>
      <c r="H92" s="79"/>
      <c r="I92" s="79">
        <f>G92-H92</f>
        <v>0</v>
      </c>
      <c r="J92" s="93" t="e">
        <f>ROUND(I92/H92*100,2)</f>
        <v>#DIV/0!</v>
      </c>
    </row>
    <row r="93" spans="1:10" ht="32.25" customHeight="1">
      <c r="A93" s="91" t="s">
        <v>134</v>
      </c>
      <c r="B93" s="68">
        <v>148</v>
      </c>
      <c r="C93" s="68">
        <v>148</v>
      </c>
      <c r="D93" s="66">
        <f t="shared" si="9"/>
        <v>0</v>
      </c>
      <c r="E93" s="70">
        <f t="shared" si="10"/>
        <v>0</v>
      </c>
      <c r="F93" s="81" t="s">
        <v>135</v>
      </c>
      <c r="G93" s="79">
        <f>SUM(G95:G96)</f>
        <v>148</v>
      </c>
      <c r="H93" s="79">
        <f>SUM(H95:H96)</f>
        <v>148</v>
      </c>
      <c r="I93" s="79">
        <f>G93-H93</f>
        <v>0</v>
      </c>
      <c r="J93" s="93">
        <f>ROUND(I93/H93*100,2)</f>
        <v>0</v>
      </c>
    </row>
    <row r="94" spans="1:10" ht="32.25" customHeight="1">
      <c r="A94" s="82" t="s">
        <v>136</v>
      </c>
      <c r="B94" s="78">
        <v>2879</v>
      </c>
      <c r="C94" s="78">
        <v>5522</v>
      </c>
      <c r="D94" s="79">
        <f t="shared" si="9"/>
        <v>-2643</v>
      </c>
      <c r="E94" s="80">
        <f t="shared" si="10"/>
        <v>-47.86</v>
      </c>
      <c r="F94" s="67" t="s">
        <v>212</v>
      </c>
      <c r="G94" s="79"/>
      <c r="H94" s="79"/>
      <c r="I94" s="79"/>
      <c r="J94" s="93"/>
    </row>
    <row r="95" spans="1:10" s="59" customFormat="1" ht="32.25" customHeight="1">
      <c r="A95" s="82" t="s">
        <v>138</v>
      </c>
      <c r="B95" s="78">
        <v>734</v>
      </c>
      <c r="C95" s="78">
        <v>638</v>
      </c>
      <c r="D95" s="79">
        <f t="shared" si="9"/>
        <v>96</v>
      </c>
      <c r="E95" s="80">
        <f t="shared" si="10"/>
        <v>15.05</v>
      </c>
      <c r="F95" s="67"/>
      <c r="G95" s="68"/>
      <c r="H95" s="68"/>
      <c r="I95" s="66">
        <f aca="true" t="shared" si="11" ref="I95:I109">G95-H95</f>
        <v>0</v>
      </c>
      <c r="J95" s="74" t="e">
        <f aca="true" t="shared" si="12" ref="J95:J109">ROUND(I95/H95*100,2)</f>
        <v>#DIV/0!</v>
      </c>
    </row>
    <row r="96" spans="1:10" ht="35.25" customHeight="1" hidden="1">
      <c r="A96" s="91"/>
      <c r="B96" s="68"/>
      <c r="C96" s="68"/>
      <c r="D96" s="66">
        <f t="shared" si="9"/>
        <v>0</v>
      </c>
      <c r="E96" s="70"/>
      <c r="F96" s="65" t="s">
        <v>213</v>
      </c>
      <c r="G96" s="68">
        <v>148</v>
      </c>
      <c r="H96" s="66">
        <v>148</v>
      </c>
      <c r="I96" s="66">
        <f t="shared" si="11"/>
        <v>0</v>
      </c>
      <c r="J96" s="70">
        <f t="shared" si="12"/>
        <v>0</v>
      </c>
    </row>
    <row r="97" spans="1:10" s="59" customFormat="1" ht="32.25" customHeight="1">
      <c r="A97" s="78" t="s">
        <v>140</v>
      </c>
      <c r="B97" s="79">
        <f>B95+B92+B33+B31+B91+B94</f>
        <v>76721</v>
      </c>
      <c r="C97" s="79">
        <f>C95+C92+C33+C31+C91+C94</f>
        <v>80400</v>
      </c>
      <c r="D97" s="79">
        <f t="shared" si="9"/>
        <v>-3679</v>
      </c>
      <c r="E97" s="80">
        <f aca="true" t="shared" si="13" ref="E97:E121">ROUND(D97/C97*100,2)</f>
        <v>-4.58</v>
      </c>
      <c r="F97" s="78" t="s">
        <v>141</v>
      </c>
      <c r="G97" s="79">
        <f>G31+G33+G92+G93+G91</f>
        <v>76721</v>
      </c>
      <c r="H97" s="79">
        <f>H31+H33+H92+H93+H91+H34</f>
        <v>80400</v>
      </c>
      <c r="I97" s="79">
        <f t="shared" si="11"/>
        <v>-3679</v>
      </c>
      <c r="J97" s="80">
        <f t="shared" si="12"/>
        <v>-4.58</v>
      </c>
    </row>
    <row r="98" spans="1:10" ht="21.75" customHeight="1" hidden="1">
      <c r="A98" s="102" t="s">
        <v>142</v>
      </c>
      <c r="B98" s="103">
        <f>SUM(B99:B102)</f>
        <v>17850</v>
      </c>
      <c r="C98" s="103">
        <f>SUM(C99:C102)</f>
        <v>17565.5</v>
      </c>
      <c r="D98" s="104">
        <f t="shared" si="9"/>
        <v>284.5</v>
      </c>
      <c r="E98" s="105">
        <f t="shared" si="13"/>
        <v>1.62</v>
      </c>
      <c r="F98" s="106" t="s">
        <v>143</v>
      </c>
      <c r="G98" s="107">
        <f>SUM(G99,G104,G105)</f>
        <v>50765</v>
      </c>
      <c r="H98" s="107">
        <f>SUM(H99,H104,H105)</f>
        <v>49135</v>
      </c>
      <c r="I98" s="105">
        <f t="shared" si="11"/>
        <v>1630</v>
      </c>
      <c r="J98" s="105">
        <f t="shared" si="12"/>
        <v>3.32</v>
      </c>
    </row>
    <row r="99" spans="1:10" ht="21.75" customHeight="1" hidden="1">
      <c r="A99" s="102" t="s">
        <v>144</v>
      </c>
      <c r="B99" s="108">
        <f>(B9-1100)*3</f>
        <v>10500</v>
      </c>
      <c r="C99" s="108">
        <f>(C9-800)*3</f>
        <v>10740</v>
      </c>
      <c r="D99" s="104">
        <f t="shared" si="9"/>
        <v>-240</v>
      </c>
      <c r="E99" s="105">
        <f t="shared" si="13"/>
        <v>-2.23</v>
      </c>
      <c r="F99" s="109" t="s">
        <v>145</v>
      </c>
      <c r="G99" s="107">
        <f>SUM(G100:G103)</f>
        <v>33938</v>
      </c>
      <c r="H99" s="107">
        <f>SUM(H100:H103)</f>
        <v>32644</v>
      </c>
      <c r="I99" s="105">
        <f t="shared" si="11"/>
        <v>1294</v>
      </c>
      <c r="J99" s="105">
        <f t="shared" si="12"/>
        <v>3.96</v>
      </c>
    </row>
    <row r="100" spans="1:10" ht="21.75" customHeight="1" hidden="1">
      <c r="A100" s="102" t="s">
        <v>146</v>
      </c>
      <c r="B100" s="103">
        <f>B11*1.5</f>
        <v>5100</v>
      </c>
      <c r="C100" s="103">
        <f>C11*1.5</f>
        <v>5053.5</v>
      </c>
      <c r="D100" s="104">
        <f t="shared" si="9"/>
        <v>46.5</v>
      </c>
      <c r="E100" s="105">
        <f t="shared" si="13"/>
        <v>0.92</v>
      </c>
      <c r="F100" s="110" t="s">
        <v>147</v>
      </c>
      <c r="G100" s="107">
        <f>G11</f>
        <v>21907</v>
      </c>
      <c r="H100" s="107">
        <f>H11</f>
        <v>20980</v>
      </c>
      <c r="I100" s="105">
        <f t="shared" si="11"/>
        <v>927</v>
      </c>
      <c r="J100" s="105">
        <f t="shared" si="12"/>
        <v>4.42</v>
      </c>
    </row>
    <row r="101" spans="1:10" ht="21.75" customHeight="1" hidden="1">
      <c r="A101" s="102" t="s">
        <v>148</v>
      </c>
      <c r="B101" s="103">
        <f>B12*1.5</f>
        <v>2250</v>
      </c>
      <c r="C101" s="103">
        <f>ROUND(C12*1.5,0)</f>
        <v>1772</v>
      </c>
      <c r="D101" s="104">
        <f t="shared" si="9"/>
        <v>478</v>
      </c>
      <c r="E101" s="105">
        <f t="shared" si="13"/>
        <v>26.98</v>
      </c>
      <c r="F101" s="110" t="s">
        <v>149</v>
      </c>
      <c r="G101" s="107">
        <f>G12</f>
        <v>1389</v>
      </c>
      <c r="H101" s="107">
        <f>H12</f>
        <v>1333</v>
      </c>
      <c r="I101" s="105">
        <f t="shared" si="11"/>
        <v>56</v>
      </c>
      <c r="J101" s="105">
        <f t="shared" si="12"/>
        <v>4.2</v>
      </c>
    </row>
    <row r="102" spans="1:10" ht="21.75" customHeight="1" hidden="1">
      <c r="A102" s="102" t="s">
        <v>214</v>
      </c>
      <c r="B102" s="103"/>
      <c r="C102" s="103"/>
      <c r="D102" s="104">
        <f t="shared" si="9"/>
        <v>0</v>
      </c>
      <c r="E102" s="105" t="e">
        <f t="shared" si="13"/>
        <v>#DIV/0!</v>
      </c>
      <c r="F102" s="110" t="s">
        <v>150</v>
      </c>
      <c r="G102" s="107">
        <f>G18</f>
        <v>9375</v>
      </c>
      <c r="H102" s="107">
        <f>H18</f>
        <v>9005</v>
      </c>
      <c r="I102" s="105">
        <f t="shared" si="11"/>
        <v>370</v>
      </c>
      <c r="J102" s="105">
        <f t="shared" si="12"/>
        <v>4.11</v>
      </c>
    </row>
    <row r="103" spans="1:10" ht="21.75" customHeight="1" hidden="1">
      <c r="A103" s="111" t="s">
        <v>151</v>
      </c>
      <c r="B103" s="112">
        <f>B31+B98</f>
        <v>54595</v>
      </c>
      <c r="C103" s="112">
        <f>C31+C98</f>
        <v>50965.5</v>
      </c>
      <c r="D103" s="104">
        <f t="shared" si="9"/>
        <v>3629.5</v>
      </c>
      <c r="E103" s="105">
        <f t="shared" si="13"/>
        <v>7.12</v>
      </c>
      <c r="F103" s="113" t="s">
        <v>152</v>
      </c>
      <c r="G103" s="114">
        <f>978+191+38+60</f>
        <v>1267</v>
      </c>
      <c r="H103" s="112">
        <v>1326</v>
      </c>
      <c r="I103" s="105">
        <f t="shared" si="11"/>
        <v>-59</v>
      </c>
      <c r="J103" s="105">
        <f t="shared" si="12"/>
        <v>-4.45</v>
      </c>
    </row>
    <row r="104" spans="1:10" s="59" customFormat="1" ht="21.75" customHeight="1" hidden="1">
      <c r="A104" s="115" t="s">
        <v>153</v>
      </c>
      <c r="B104" s="112">
        <f>B105+B107</f>
        <v>17725</v>
      </c>
      <c r="C104" s="112">
        <f>C105+C107</f>
        <v>21693</v>
      </c>
      <c r="D104" s="104">
        <f t="shared" si="9"/>
        <v>-3968</v>
      </c>
      <c r="E104" s="105">
        <f t="shared" si="13"/>
        <v>-18.29</v>
      </c>
      <c r="F104" s="116" t="s">
        <v>154</v>
      </c>
      <c r="G104" s="117">
        <f>G15</f>
        <v>7536</v>
      </c>
      <c r="H104" s="117">
        <f>H15</f>
        <v>7379</v>
      </c>
      <c r="I104" s="105">
        <f t="shared" si="11"/>
        <v>157</v>
      </c>
      <c r="J104" s="105">
        <f t="shared" si="12"/>
        <v>2.13</v>
      </c>
    </row>
    <row r="105" spans="1:10" ht="21.75" customHeight="1" hidden="1">
      <c r="A105" s="118" t="s">
        <v>155</v>
      </c>
      <c r="B105" s="103">
        <f>B9+B11-B111</f>
        <v>5650</v>
      </c>
      <c r="C105" s="103">
        <f>C9+C11-C111</f>
        <v>6049</v>
      </c>
      <c r="D105" s="119">
        <f t="shared" si="9"/>
        <v>-399</v>
      </c>
      <c r="E105" s="120">
        <f t="shared" si="13"/>
        <v>-6.6</v>
      </c>
      <c r="F105" s="116" t="s">
        <v>156</v>
      </c>
      <c r="G105" s="117">
        <f>G14</f>
        <v>9291</v>
      </c>
      <c r="H105" s="117">
        <f>H14</f>
        <v>9112</v>
      </c>
      <c r="I105" s="105">
        <f t="shared" si="11"/>
        <v>179</v>
      </c>
      <c r="J105" s="105">
        <f t="shared" si="12"/>
        <v>1.96</v>
      </c>
    </row>
    <row r="106" spans="1:10" ht="22.5" customHeight="1" hidden="1">
      <c r="A106" s="118" t="s">
        <v>157</v>
      </c>
      <c r="B106" s="103">
        <f>B11-B111</f>
        <v>1050</v>
      </c>
      <c r="C106" s="103">
        <f>C11-C111</f>
        <v>1669</v>
      </c>
      <c r="D106" s="119">
        <f t="shared" si="9"/>
        <v>-619</v>
      </c>
      <c r="E106" s="120">
        <f t="shared" si="13"/>
        <v>-37.09</v>
      </c>
      <c r="F106" s="106" t="s">
        <v>158</v>
      </c>
      <c r="G106" s="121">
        <f>ROUND(G98/G31*100,2)</f>
        <v>68.55</v>
      </c>
      <c r="H106" s="121">
        <f>ROUND(H98/H31*100,2)</f>
        <v>64.14</v>
      </c>
      <c r="I106" s="105">
        <f t="shared" si="11"/>
        <v>4.409999999999997</v>
      </c>
      <c r="J106" s="105">
        <f t="shared" si="12"/>
        <v>6.88</v>
      </c>
    </row>
    <row r="107" spans="1:10" ht="21.75" customHeight="1" hidden="1">
      <c r="A107" s="118" t="s">
        <v>159</v>
      </c>
      <c r="B107" s="108">
        <f>ROUND((B9-1100)*3+B106*1.5,0)</f>
        <v>12075</v>
      </c>
      <c r="C107" s="108">
        <f>ROUND((C9)*3+C106*1.5,0)</f>
        <v>15644</v>
      </c>
      <c r="D107" s="119">
        <f t="shared" si="9"/>
        <v>-3569</v>
      </c>
      <c r="E107" s="120">
        <f t="shared" si="13"/>
        <v>-22.81</v>
      </c>
      <c r="F107" s="106" t="s">
        <v>160</v>
      </c>
      <c r="G107" s="121">
        <f>ROUND(G101/G31*100,2)</f>
        <v>1.88</v>
      </c>
      <c r="H107" s="121">
        <f>ROUND(H101/H31*100,2)</f>
        <v>1.74</v>
      </c>
      <c r="I107" s="105">
        <f t="shared" si="11"/>
        <v>0.1399999999999999</v>
      </c>
      <c r="J107" s="105">
        <f t="shared" si="12"/>
        <v>8.05</v>
      </c>
    </row>
    <row r="108" spans="1:10" s="59" customFormat="1" ht="21.75" customHeight="1" hidden="1">
      <c r="A108" s="115" t="s">
        <v>161</v>
      </c>
      <c r="B108" s="112">
        <f>B109+B113</f>
        <v>30635</v>
      </c>
      <c r="C108" s="112">
        <f>C109+C113</f>
        <v>26687</v>
      </c>
      <c r="D108" s="104">
        <f t="shared" si="9"/>
        <v>3948</v>
      </c>
      <c r="E108" s="105">
        <f t="shared" si="13"/>
        <v>14.79</v>
      </c>
      <c r="F108" s="106" t="s">
        <v>162</v>
      </c>
      <c r="G108" s="121">
        <f>ROUND(G100/G31*100,2)</f>
        <v>29.58</v>
      </c>
      <c r="H108" s="121">
        <f>ROUND(H100/H31*100,2)</f>
        <v>27.39</v>
      </c>
      <c r="I108" s="105">
        <f t="shared" si="11"/>
        <v>2.1899999999999977</v>
      </c>
      <c r="J108" s="105">
        <f t="shared" si="12"/>
        <v>8</v>
      </c>
    </row>
    <row r="109" spans="1:10" ht="21.75" customHeight="1" hidden="1">
      <c r="A109" s="118" t="s">
        <v>155</v>
      </c>
      <c r="B109" s="103">
        <f>B31-B24-B105+B112</f>
        <v>24860</v>
      </c>
      <c r="C109" s="103">
        <f>C31-C24-C105+C112</f>
        <v>22365</v>
      </c>
      <c r="D109" s="119">
        <f t="shared" si="9"/>
        <v>2495</v>
      </c>
      <c r="E109" s="120">
        <f t="shared" si="13"/>
        <v>11.16</v>
      </c>
      <c r="F109" s="106" t="s">
        <v>163</v>
      </c>
      <c r="G109" s="121">
        <f>ROUND(G8/G31*100,2)</f>
        <v>13.29</v>
      </c>
      <c r="H109" s="121">
        <f>ROUND(H8/H31*100,2)</f>
        <v>12.72</v>
      </c>
      <c r="I109" s="105">
        <f t="shared" si="11"/>
        <v>0.5699999999999985</v>
      </c>
      <c r="J109" s="105">
        <f t="shared" si="12"/>
        <v>4.48</v>
      </c>
    </row>
    <row r="110" spans="1:10" ht="21.75" customHeight="1" hidden="1">
      <c r="A110" s="118" t="s">
        <v>164</v>
      </c>
      <c r="B110" s="103">
        <f>B12</f>
        <v>1500</v>
      </c>
      <c r="C110" s="103">
        <f>C12</f>
        <v>1181</v>
      </c>
      <c r="D110" s="119">
        <f t="shared" si="9"/>
        <v>319</v>
      </c>
      <c r="E110" s="120">
        <f t="shared" si="13"/>
        <v>27.01</v>
      </c>
      <c r="F110" s="122"/>
      <c r="G110" s="123"/>
      <c r="H110" s="124"/>
      <c r="I110" s="123"/>
      <c r="J110" s="123"/>
    </row>
    <row r="111" spans="1:10" ht="21.75" customHeight="1" hidden="1">
      <c r="A111" s="118" t="s">
        <v>165</v>
      </c>
      <c r="B111" s="125">
        <v>2350</v>
      </c>
      <c r="C111" s="125">
        <v>1700</v>
      </c>
      <c r="D111" s="119">
        <f t="shared" si="9"/>
        <v>650</v>
      </c>
      <c r="E111" s="120">
        <f t="shared" si="13"/>
        <v>38.24</v>
      </c>
      <c r="F111" s="122"/>
      <c r="G111" s="123"/>
      <c r="H111" s="124"/>
      <c r="I111" s="123"/>
      <c r="J111" s="123"/>
    </row>
    <row r="112" spans="1:10" ht="21.75" customHeight="1" hidden="1">
      <c r="A112" s="118" t="s">
        <v>166</v>
      </c>
      <c r="B112" s="125">
        <v>760</v>
      </c>
      <c r="C112" s="125">
        <v>680</v>
      </c>
      <c r="D112" s="119">
        <f t="shared" si="9"/>
        <v>80</v>
      </c>
      <c r="E112" s="120">
        <f t="shared" si="13"/>
        <v>11.76</v>
      </c>
      <c r="F112" s="122"/>
      <c r="G112" s="123"/>
      <c r="H112" s="124"/>
      <c r="I112" s="123"/>
      <c r="J112" s="123"/>
    </row>
    <row r="113" spans="1:10" ht="21.75" customHeight="1" hidden="1">
      <c r="A113" s="118" t="s">
        <v>159</v>
      </c>
      <c r="B113" s="103">
        <f>ROUND(B111*1.5+B110*1.5,0)</f>
        <v>5775</v>
      </c>
      <c r="C113" s="103">
        <f>ROUND(C111*1.5+C110*1.5,0)</f>
        <v>4322</v>
      </c>
      <c r="D113" s="119">
        <f t="shared" si="9"/>
        <v>1453</v>
      </c>
      <c r="E113" s="120">
        <f t="shared" si="13"/>
        <v>33.62</v>
      </c>
      <c r="F113" s="122"/>
      <c r="G113" s="123"/>
      <c r="H113" s="124"/>
      <c r="I113" s="123"/>
      <c r="J113" s="123"/>
    </row>
    <row r="114" spans="1:10" s="59" customFormat="1" ht="21.75" customHeight="1" hidden="1">
      <c r="A114" s="115" t="s">
        <v>167</v>
      </c>
      <c r="B114" s="112">
        <f>B24-B112</f>
        <v>6235</v>
      </c>
      <c r="C114" s="112">
        <f>C24-C112</f>
        <v>4986</v>
      </c>
      <c r="D114" s="119">
        <f t="shared" si="9"/>
        <v>1249</v>
      </c>
      <c r="E114" s="120">
        <f t="shared" si="13"/>
        <v>25.05</v>
      </c>
      <c r="F114" s="122"/>
      <c r="G114" s="123"/>
      <c r="H114" s="126"/>
      <c r="I114" s="123"/>
      <c r="J114" s="123"/>
    </row>
    <row r="115" spans="1:10" ht="21.75" customHeight="1" hidden="1">
      <c r="A115" s="118" t="s">
        <v>168</v>
      </c>
      <c r="B115" s="103">
        <f>B114-B28</f>
        <v>6205</v>
      </c>
      <c r="C115" s="103">
        <f>C114-C28</f>
        <v>5366</v>
      </c>
      <c r="D115" s="119">
        <f t="shared" si="9"/>
        <v>839</v>
      </c>
      <c r="E115" s="120">
        <f t="shared" si="13"/>
        <v>15.64</v>
      </c>
      <c r="F115" s="122"/>
      <c r="G115" s="123"/>
      <c r="H115" s="124"/>
      <c r="I115" s="123"/>
      <c r="J115" s="123"/>
    </row>
    <row r="116" spans="1:10" s="59" customFormat="1" ht="21.75" customHeight="1" hidden="1">
      <c r="A116" s="118" t="s">
        <v>169</v>
      </c>
      <c r="B116" s="127">
        <f>ROUND(B8/B31*100,2)</f>
        <v>80.96</v>
      </c>
      <c r="C116" s="127">
        <f>ROUND(C8/C31*100,2)</f>
        <v>83.04</v>
      </c>
      <c r="D116" s="120">
        <f t="shared" si="9"/>
        <v>-2.0800000000000125</v>
      </c>
      <c r="E116" s="120">
        <f t="shared" si="13"/>
        <v>-2.5</v>
      </c>
      <c r="F116" s="122"/>
      <c r="G116" s="123"/>
      <c r="H116" s="128"/>
      <c r="I116" s="123"/>
      <c r="J116" s="123"/>
    </row>
    <row r="117" spans="1:10" ht="21.75" customHeight="1" hidden="1">
      <c r="A117" s="118" t="s">
        <v>170</v>
      </c>
      <c r="B117" s="103">
        <f>B31-B27-B25-B28-B14+B35</f>
        <v>58828</v>
      </c>
      <c r="C117" s="103">
        <f>C31-C27-C25-C28-C14+C35</f>
        <v>56715</v>
      </c>
      <c r="D117" s="119">
        <f t="shared" si="9"/>
        <v>2113</v>
      </c>
      <c r="E117" s="120">
        <f t="shared" si="13"/>
        <v>3.73</v>
      </c>
      <c r="F117" s="122"/>
      <c r="G117" s="123"/>
      <c r="H117" s="124"/>
      <c r="I117" s="123"/>
      <c r="J117" s="123"/>
    </row>
    <row r="118" spans="1:10" ht="21.75" customHeight="1" hidden="1">
      <c r="A118" s="118" t="s">
        <v>171</v>
      </c>
      <c r="B118" s="108"/>
      <c r="C118" s="129">
        <v>599428</v>
      </c>
      <c r="D118" s="119">
        <f t="shared" si="9"/>
        <v>-599428</v>
      </c>
      <c r="E118" s="120">
        <f t="shared" si="13"/>
        <v>-100</v>
      </c>
      <c r="F118" s="122"/>
      <c r="G118" s="123"/>
      <c r="H118" s="128"/>
      <c r="I118" s="123"/>
      <c r="J118" s="123"/>
    </row>
    <row r="119" spans="1:10" ht="21.75" customHeight="1" hidden="1">
      <c r="A119" s="118" t="s">
        <v>172</v>
      </c>
      <c r="B119" s="127" t="e">
        <f>ROUND(B31/B118*100,2)</f>
        <v>#DIV/0!</v>
      </c>
      <c r="C119" s="127">
        <f>ROUND(C31/C118*100,2)</f>
        <v>5.57</v>
      </c>
      <c r="D119" s="119" t="e">
        <f t="shared" si="9"/>
        <v>#DIV/0!</v>
      </c>
      <c r="E119" s="120" t="e">
        <f t="shared" si="13"/>
        <v>#DIV/0!</v>
      </c>
      <c r="F119" s="122"/>
      <c r="G119" s="123"/>
      <c r="H119" s="128"/>
      <c r="I119" s="123"/>
      <c r="J119" s="123"/>
    </row>
    <row r="120" spans="1:10" ht="21.75" customHeight="1" hidden="1">
      <c r="A120" s="118" t="s">
        <v>173</v>
      </c>
      <c r="B120" s="127" t="e">
        <f>ROUND(B103/B118*100,2)</f>
        <v>#DIV/0!</v>
      </c>
      <c r="C120" s="127">
        <f>ROUND(C103/C118*100,2)</f>
        <v>8.5</v>
      </c>
      <c r="D120" s="119" t="e">
        <f t="shared" si="9"/>
        <v>#DIV/0!</v>
      </c>
      <c r="E120" s="120" t="e">
        <f t="shared" si="13"/>
        <v>#DIV/0!</v>
      </c>
      <c r="F120" s="122"/>
      <c r="G120" s="123"/>
      <c r="H120" s="128"/>
      <c r="I120" s="123"/>
      <c r="J120" s="123"/>
    </row>
    <row r="121" spans="1:10" ht="21.75" customHeight="1" hidden="1">
      <c r="A121" s="102" t="s">
        <v>174</v>
      </c>
      <c r="B121" s="130">
        <f>B103+'[3]2015年基金 '!B13</f>
        <v>54595</v>
      </c>
      <c r="C121" s="130">
        <f>C103+'[3]2015年基金 '!C13</f>
        <v>56125.5</v>
      </c>
      <c r="D121" s="119">
        <f t="shared" si="9"/>
        <v>-1530.5</v>
      </c>
      <c r="E121" s="120">
        <f t="shared" si="13"/>
        <v>-2.73</v>
      </c>
      <c r="F121" s="122"/>
      <c r="G121" s="123"/>
      <c r="H121" s="124"/>
      <c r="I121" s="123"/>
      <c r="J121" s="123"/>
    </row>
    <row r="122" ht="27" customHeight="1" hidden="1"/>
  </sheetData>
  <mergeCells count="13">
    <mergeCell ref="A2:J2"/>
    <mergeCell ref="C3:F3"/>
    <mergeCell ref="I3:J3"/>
    <mergeCell ref="A4:E4"/>
    <mergeCell ref="F4:J4"/>
    <mergeCell ref="A5:A7"/>
    <mergeCell ref="B5:B7"/>
    <mergeCell ref="C5:C7"/>
    <mergeCell ref="F5:F7"/>
    <mergeCell ref="G5:G7"/>
    <mergeCell ref="H5:H7"/>
    <mergeCell ref="D5:E6"/>
    <mergeCell ref="I5:J6"/>
  </mergeCells>
  <printOptions/>
  <pageMargins left="1.1" right="0.3798611111111111" top="0.5" bottom="0.6798611111111111" header="0.3541666666666667" footer="0.275"/>
  <pageSetup horizontalDpi="600" verticalDpi="600" orientation="landscape" paperSize="8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="70" zoomScaleNormal="70" workbookViewId="0" topLeftCell="A1">
      <selection activeCell="A2" sqref="A2:J2"/>
    </sheetView>
  </sheetViews>
  <sheetFormatPr defaultColWidth="9.00390625" defaultRowHeight="14.25"/>
  <cols>
    <col min="1" max="1" width="37.50390625" style="40" bestFit="1" customWidth="1"/>
    <col min="2" max="3" width="15.375" style="41" customWidth="1"/>
    <col min="4" max="4" width="12.625" style="41" customWidth="1"/>
    <col min="5" max="5" width="12.25390625" style="41" customWidth="1"/>
    <col min="6" max="6" width="35.875" style="40" bestFit="1" customWidth="1"/>
    <col min="7" max="8" width="15.375" style="41" customWidth="1"/>
    <col min="9" max="10" width="12.25390625" style="41" customWidth="1"/>
    <col min="11" max="16384" width="9.00390625" style="40" customWidth="1"/>
  </cols>
  <sheetData>
    <row r="1" spans="1:8" ht="27" customHeight="1">
      <c r="A1" s="38" t="s">
        <v>215</v>
      </c>
      <c r="H1" s="42" t="s">
        <v>216</v>
      </c>
    </row>
    <row r="2" spans="1:10" s="38" customFormat="1" ht="39" customHeight="1">
      <c r="A2" s="225" t="s">
        <v>217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28.5" customHeight="1">
      <c r="A3" s="40" t="s">
        <v>8</v>
      </c>
      <c r="B3" s="226"/>
      <c r="C3" s="226"/>
      <c r="D3" s="226"/>
      <c r="E3" s="226"/>
      <c r="F3" s="226"/>
      <c r="G3" s="226"/>
      <c r="I3" s="227" t="s">
        <v>9</v>
      </c>
      <c r="J3" s="227"/>
    </row>
    <row r="4" spans="1:10" ht="24" customHeight="1">
      <c r="A4" s="213" t="s">
        <v>10</v>
      </c>
      <c r="B4" s="214"/>
      <c r="C4" s="214"/>
      <c r="D4" s="214"/>
      <c r="E4" s="215"/>
      <c r="F4" s="216" t="s">
        <v>11</v>
      </c>
      <c r="G4" s="216"/>
      <c r="H4" s="216"/>
      <c r="I4" s="216"/>
      <c r="J4" s="216"/>
    </row>
    <row r="5" spans="1:10" ht="27.75" customHeight="1">
      <c r="A5" s="200" t="s">
        <v>12</v>
      </c>
      <c r="B5" s="203" t="s">
        <v>202</v>
      </c>
      <c r="C5" s="203" t="s">
        <v>16</v>
      </c>
      <c r="D5" s="204" t="s">
        <v>203</v>
      </c>
      <c r="E5" s="206"/>
      <c r="F5" s="200" t="s">
        <v>12</v>
      </c>
      <c r="G5" s="203" t="s">
        <v>202</v>
      </c>
      <c r="H5" s="203" t="s">
        <v>16</v>
      </c>
      <c r="I5" s="204" t="s">
        <v>203</v>
      </c>
      <c r="J5" s="206"/>
    </row>
    <row r="6" spans="1:10" ht="27.75" customHeight="1">
      <c r="A6" s="201"/>
      <c r="B6" s="201"/>
      <c r="C6" s="224"/>
      <c r="D6" s="43" t="s">
        <v>20</v>
      </c>
      <c r="E6" s="43" t="s">
        <v>21</v>
      </c>
      <c r="F6" s="201"/>
      <c r="G6" s="201"/>
      <c r="H6" s="224"/>
      <c r="I6" s="43" t="s">
        <v>20</v>
      </c>
      <c r="J6" s="43" t="s">
        <v>21</v>
      </c>
    </row>
    <row r="7" spans="1:10" ht="36" customHeight="1">
      <c r="A7" s="44" t="s">
        <v>218</v>
      </c>
      <c r="B7" s="45">
        <v>15000</v>
      </c>
      <c r="C7" s="45">
        <v>3500</v>
      </c>
      <c r="D7" s="45">
        <f aca="true" t="shared" si="0" ref="D7:D20">B7-C7</f>
        <v>11500</v>
      </c>
      <c r="E7" s="46">
        <f aca="true" t="shared" si="1" ref="E7:E13">ROUND(D7/C7*100,2)</f>
        <v>328.57</v>
      </c>
      <c r="F7" s="44" t="s">
        <v>219</v>
      </c>
      <c r="G7" s="45">
        <v>14750</v>
      </c>
      <c r="H7" s="47">
        <v>3350</v>
      </c>
      <c r="I7" s="45">
        <f aca="true" t="shared" si="2" ref="I7:I20">G7-H7</f>
        <v>11400</v>
      </c>
      <c r="J7" s="46">
        <f aca="true" t="shared" si="3" ref="J7:J13">ROUND(I7/H7*100,2)</f>
        <v>340.3</v>
      </c>
    </row>
    <row r="8" spans="1:10" ht="36" customHeight="1">
      <c r="A8" s="44" t="s">
        <v>220</v>
      </c>
      <c r="B8" s="47"/>
      <c r="C8" s="47">
        <v>150</v>
      </c>
      <c r="D8" s="45">
        <f t="shared" si="0"/>
        <v>-150</v>
      </c>
      <c r="E8" s="46">
        <f t="shared" si="1"/>
        <v>-100</v>
      </c>
      <c r="F8" s="44" t="s">
        <v>221</v>
      </c>
      <c r="G8" s="47"/>
      <c r="H8" s="47">
        <v>150</v>
      </c>
      <c r="I8" s="45">
        <f t="shared" si="2"/>
        <v>-150</v>
      </c>
      <c r="J8" s="46">
        <f t="shared" si="3"/>
        <v>-100</v>
      </c>
    </row>
    <row r="9" spans="1:10" ht="36" customHeight="1">
      <c r="A9" s="44" t="s">
        <v>222</v>
      </c>
      <c r="B9" s="47"/>
      <c r="C9" s="47">
        <v>700</v>
      </c>
      <c r="D9" s="45">
        <f t="shared" si="0"/>
        <v>-700</v>
      </c>
      <c r="E9" s="46">
        <f t="shared" si="1"/>
        <v>-100</v>
      </c>
      <c r="F9" s="44" t="s">
        <v>223</v>
      </c>
      <c r="G9" s="47"/>
      <c r="H9" s="47">
        <v>700</v>
      </c>
      <c r="I9" s="45">
        <f t="shared" si="2"/>
        <v>-700</v>
      </c>
      <c r="J9" s="46">
        <f t="shared" si="3"/>
        <v>-100</v>
      </c>
    </row>
    <row r="10" spans="1:10" ht="36" customHeight="1">
      <c r="A10" s="48" t="s">
        <v>183</v>
      </c>
      <c r="B10" s="47"/>
      <c r="C10" s="47">
        <v>450</v>
      </c>
      <c r="D10" s="45">
        <f t="shared" si="0"/>
        <v>-450</v>
      </c>
      <c r="E10" s="46">
        <f t="shared" si="1"/>
        <v>-100</v>
      </c>
      <c r="F10" s="48" t="s">
        <v>183</v>
      </c>
      <c r="G10" s="47"/>
      <c r="H10" s="47">
        <v>450</v>
      </c>
      <c r="I10" s="45">
        <f t="shared" si="2"/>
        <v>-450</v>
      </c>
      <c r="J10" s="46">
        <f t="shared" si="3"/>
        <v>-100</v>
      </c>
    </row>
    <row r="11" spans="1:10" ht="36" customHeight="1">
      <c r="A11" s="48" t="s">
        <v>185</v>
      </c>
      <c r="B11" s="47">
        <v>330</v>
      </c>
      <c r="C11" s="47">
        <v>300</v>
      </c>
      <c r="D11" s="45">
        <f t="shared" si="0"/>
        <v>30</v>
      </c>
      <c r="E11" s="46">
        <f t="shared" si="1"/>
        <v>10</v>
      </c>
      <c r="F11" s="48" t="s">
        <v>185</v>
      </c>
      <c r="G11" s="47">
        <v>40</v>
      </c>
      <c r="H11" s="47">
        <v>18</v>
      </c>
      <c r="I11" s="45">
        <f t="shared" si="2"/>
        <v>22</v>
      </c>
      <c r="J11" s="46">
        <f t="shared" si="3"/>
        <v>122.22</v>
      </c>
    </row>
    <row r="12" spans="1:10" ht="36" customHeight="1">
      <c r="A12" s="48" t="s">
        <v>187</v>
      </c>
      <c r="B12" s="47">
        <v>20</v>
      </c>
      <c r="C12" s="47">
        <v>60</v>
      </c>
      <c r="D12" s="45">
        <f t="shared" si="0"/>
        <v>-40</v>
      </c>
      <c r="E12" s="46">
        <f t="shared" si="1"/>
        <v>-66.67</v>
      </c>
      <c r="F12" s="48" t="s">
        <v>188</v>
      </c>
      <c r="G12" s="47"/>
      <c r="H12" s="47"/>
      <c r="I12" s="45">
        <f t="shared" si="2"/>
        <v>0</v>
      </c>
      <c r="J12" s="46" t="e">
        <f t="shared" si="3"/>
        <v>#DIV/0!</v>
      </c>
    </row>
    <row r="13" spans="1:10" s="39" customFormat="1" ht="36" customHeight="1">
      <c r="A13" s="49" t="s">
        <v>224</v>
      </c>
      <c r="B13" s="50">
        <f>SUM(B7:B12)</f>
        <v>15350</v>
      </c>
      <c r="C13" s="50">
        <f>SUM(C7:C12)</f>
        <v>5160</v>
      </c>
      <c r="D13" s="50">
        <f t="shared" si="0"/>
        <v>10190</v>
      </c>
      <c r="E13" s="51">
        <f t="shared" si="1"/>
        <v>197.48</v>
      </c>
      <c r="F13" s="49" t="s">
        <v>225</v>
      </c>
      <c r="G13" s="50">
        <f>SUM(G7:G11)</f>
        <v>14790</v>
      </c>
      <c r="H13" s="50">
        <f>SUM(H7:H11)</f>
        <v>4668</v>
      </c>
      <c r="I13" s="50">
        <f t="shared" si="2"/>
        <v>10122</v>
      </c>
      <c r="J13" s="51">
        <f t="shared" si="3"/>
        <v>216.84</v>
      </c>
    </row>
    <row r="14" spans="1:10" ht="36" customHeight="1" hidden="1">
      <c r="A14" s="52" t="s">
        <v>189</v>
      </c>
      <c r="B14" s="45"/>
      <c r="C14" s="45"/>
      <c r="D14" s="45">
        <f t="shared" si="0"/>
        <v>0</v>
      </c>
      <c r="E14" s="46"/>
      <c r="F14" s="52" t="s">
        <v>190</v>
      </c>
      <c r="G14" s="45"/>
      <c r="H14" s="45"/>
      <c r="I14" s="45">
        <f t="shared" si="2"/>
        <v>0</v>
      </c>
      <c r="J14" s="46"/>
    </row>
    <row r="15" spans="1:10" ht="36" customHeight="1">
      <c r="A15" s="53" t="s">
        <v>191</v>
      </c>
      <c r="B15" s="45"/>
      <c r="C15" s="45"/>
      <c r="D15" s="45">
        <f t="shared" si="0"/>
        <v>0</v>
      </c>
      <c r="E15" s="46"/>
      <c r="F15" s="53" t="s">
        <v>192</v>
      </c>
      <c r="G15" s="45">
        <v>60</v>
      </c>
      <c r="H15" s="54">
        <v>21</v>
      </c>
      <c r="I15" s="45">
        <f t="shared" si="2"/>
        <v>39</v>
      </c>
      <c r="J15" s="46">
        <f>ROUND(I15/H15*100,2)</f>
        <v>185.71</v>
      </c>
    </row>
    <row r="16" spans="1:10" ht="36" customHeight="1">
      <c r="A16" s="53" t="s">
        <v>193</v>
      </c>
      <c r="B16" s="47"/>
      <c r="C16" s="47"/>
      <c r="D16" s="45">
        <f t="shared" si="0"/>
        <v>0</v>
      </c>
      <c r="E16" s="46"/>
      <c r="F16" s="53" t="s">
        <v>194</v>
      </c>
      <c r="G16" s="47"/>
      <c r="H16" s="47"/>
      <c r="I16" s="45">
        <f t="shared" si="2"/>
        <v>0</v>
      </c>
      <c r="J16" s="57" t="e">
        <f>ROUND(I16/H16*100,2)</f>
        <v>#DIV/0!</v>
      </c>
    </row>
    <row r="17" spans="1:10" ht="36" customHeight="1">
      <c r="A17" s="53" t="s">
        <v>195</v>
      </c>
      <c r="B17" s="47">
        <v>1758</v>
      </c>
      <c r="C17" s="47">
        <v>1479</v>
      </c>
      <c r="D17" s="45">
        <f t="shared" si="0"/>
        <v>279</v>
      </c>
      <c r="E17" s="46">
        <f>ROUND(D17/C17*100,2)</f>
        <v>18.86</v>
      </c>
      <c r="F17" s="53" t="s">
        <v>196</v>
      </c>
      <c r="G17" s="47"/>
      <c r="H17" s="47">
        <v>192</v>
      </c>
      <c r="I17" s="45">
        <f t="shared" si="2"/>
        <v>-192</v>
      </c>
      <c r="J17" s="57">
        <f>ROUND(I17/H17*100,2)</f>
        <v>-100</v>
      </c>
    </row>
    <row r="18" spans="1:10" ht="36" customHeight="1">
      <c r="A18" s="53" t="s">
        <v>197</v>
      </c>
      <c r="B18" s="47"/>
      <c r="C18" s="47"/>
      <c r="D18" s="45">
        <f t="shared" si="0"/>
        <v>0</v>
      </c>
      <c r="E18" s="46"/>
      <c r="F18" s="53" t="s">
        <v>198</v>
      </c>
      <c r="G18" s="47">
        <v>2258</v>
      </c>
      <c r="H18" s="55">
        <f>1950-192</f>
        <v>1758</v>
      </c>
      <c r="I18" s="45">
        <f t="shared" si="2"/>
        <v>500</v>
      </c>
      <c r="J18" s="46">
        <f>ROUND(I18/H18*100,2)</f>
        <v>28.44</v>
      </c>
    </row>
    <row r="19" spans="1:10" ht="36" customHeight="1">
      <c r="A19" s="56"/>
      <c r="B19" s="47"/>
      <c r="C19" s="47"/>
      <c r="D19" s="45">
        <f t="shared" si="0"/>
        <v>0</v>
      </c>
      <c r="E19" s="46"/>
      <c r="F19" s="44"/>
      <c r="G19" s="47"/>
      <c r="H19" s="47"/>
      <c r="I19" s="45">
        <f t="shared" si="2"/>
        <v>0</v>
      </c>
      <c r="J19" s="46"/>
    </row>
    <row r="20" spans="1:10" s="39" customFormat="1" ht="36" customHeight="1">
      <c r="A20" s="49" t="s">
        <v>140</v>
      </c>
      <c r="B20" s="50">
        <f>B13+B15+B16+B17+B18</f>
        <v>17108</v>
      </c>
      <c r="C20" s="50">
        <f>C13+C15+C16+C17+C18</f>
        <v>6639</v>
      </c>
      <c r="D20" s="50">
        <f t="shared" si="0"/>
        <v>10469</v>
      </c>
      <c r="E20" s="51">
        <f>ROUND(D20/C20*100,2)</f>
        <v>157.69</v>
      </c>
      <c r="F20" s="49" t="s">
        <v>141</v>
      </c>
      <c r="G20" s="50">
        <f>G18+G17+G16+G15+G13</f>
        <v>17108</v>
      </c>
      <c r="H20" s="50">
        <f>H18+H17+H16+H15+H13</f>
        <v>6639</v>
      </c>
      <c r="I20" s="50">
        <f t="shared" si="2"/>
        <v>10469</v>
      </c>
      <c r="J20" s="51">
        <f>ROUND(I20/H20*100,2)</f>
        <v>157.69</v>
      </c>
    </row>
    <row r="21" ht="24" customHeight="1"/>
  </sheetData>
  <mergeCells count="13">
    <mergeCell ref="A2:J2"/>
    <mergeCell ref="B3:G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/>
  <pageMargins left="1.1" right="0.7298611111111111" top="0.8395833333333333" bottom="1" header="0.5" footer="0.5"/>
  <pageSetup horizontalDpi="600" verticalDpi="600" orientation="landscape" paperSize="8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21"/>
  <sheetViews>
    <sheetView zoomScale="70" zoomScaleNormal="70" workbookViewId="0" topLeftCell="A1">
      <selection activeCell="A2" sqref="A2:J2"/>
    </sheetView>
  </sheetViews>
  <sheetFormatPr defaultColWidth="9.00390625" defaultRowHeight="14.25"/>
  <cols>
    <col min="1" max="1" width="35.875" style="7" customWidth="1"/>
    <col min="2" max="5" width="14.50390625" style="7" customWidth="1"/>
    <col min="6" max="6" width="32.75390625" style="7" customWidth="1"/>
    <col min="7" max="7" width="14.25390625" style="8" customWidth="1"/>
    <col min="8" max="8" width="14.25390625" style="7" customWidth="1"/>
    <col min="9" max="9" width="14.25390625" style="8" customWidth="1"/>
    <col min="10" max="10" width="14.25390625" style="7" customWidth="1"/>
    <col min="11" max="250" width="9.00390625" style="7" customWidth="1"/>
  </cols>
  <sheetData>
    <row r="1" spans="1:2" ht="34.5" customHeight="1">
      <c r="A1" s="9" t="s">
        <v>226</v>
      </c>
      <c r="B1" s="9"/>
    </row>
    <row r="2" spans="1:10" ht="27.75" customHeight="1">
      <c r="A2" s="225" t="s">
        <v>227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6" customHeight="1">
      <c r="A3" s="234" t="s">
        <v>228</v>
      </c>
      <c r="B3" s="234"/>
      <c r="C3" s="235"/>
      <c r="D3" s="10"/>
      <c r="I3" s="236" t="s">
        <v>9</v>
      </c>
      <c r="J3" s="236"/>
    </row>
    <row r="4" spans="1:10" ht="36.75" customHeight="1">
      <c r="A4" s="237" t="s">
        <v>229</v>
      </c>
      <c r="B4" s="238"/>
      <c r="C4" s="238"/>
      <c r="D4" s="238"/>
      <c r="E4" s="239"/>
      <c r="F4" s="240" t="s">
        <v>230</v>
      </c>
      <c r="G4" s="240"/>
      <c r="H4" s="240"/>
      <c r="I4" s="240"/>
      <c r="J4" s="240"/>
    </row>
    <row r="5" spans="1:10" ht="36.75" customHeight="1">
      <c r="A5" s="230" t="s">
        <v>231</v>
      </c>
      <c r="B5" s="228" t="s">
        <v>202</v>
      </c>
      <c r="C5" s="228" t="s">
        <v>16</v>
      </c>
      <c r="D5" s="228" t="s">
        <v>203</v>
      </c>
      <c r="E5" s="228"/>
      <c r="F5" s="232" t="s">
        <v>231</v>
      </c>
      <c r="G5" s="229" t="s">
        <v>202</v>
      </c>
      <c r="H5" s="229" t="s">
        <v>16</v>
      </c>
      <c r="I5" s="229" t="s">
        <v>203</v>
      </c>
      <c r="J5" s="229"/>
    </row>
    <row r="6" spans="1:10" ht="36.75" customHeight="1">
      <c r="A6" s="231"/>
      <c r="B6" s="228"/>
      <c r="C6" s="228"/>
      <c r="D6" s="11" t="s">
        <v>20</v>
      </c>
      <c r="E6" s="12" t="s">
        <v>232</v>
      </c>
      <c r="F6" s="233"/>
      <c r="G6" s="228"/>
      <c r="H6" s="228"/>
      <c r="I6" s="11" t="s">
        <v>20</v>
      </c>
      <c r="J6" s="12" t="s">
        <v>232</v>
      </c>
    </row>
    <row r="7" spans="1:10" ht="36.75" customHeight="1">
      <c r="A7" s="31" t="s">
        <v>233</v>
      </c>
      <c r="B7" s="14">
        <v>125</v>
      </c>
      <c r="C7" s="14"/>
      <c r="D7" s="14">
        <f aca="true" t="shared" si="0" ref="D7:D21">B7-C7</f>
        <v>125</v>
      </c>
      <c r="E7" s="14"/>
      <c r="F7" s="32" t="s">
        <v>234</v>
      </c>
      <c r="G7" s="14"/>
      <c r="H7" s="28"/>
      <c r="I7" s="18"/>
      <c r="J7" s="28"/>
    </row>
    <row r="8" spans="1:10" ht="36.75" customHeight="1">
      <c r="A8" s="31" t="s">
        <v>235</v>
      </c>
      <c r="B8" s="14">
        <v>271</v>
      </c>
      <c r="C8" s="14"/>
      <c r="D8" s="14">
        <f t="shared" si="0"/>
        <v>271</v>
      </c>
      <c r="E8" s="14"/>
      <c r="F8" s="32" t="s">
        <v>236</v>
      </c>
      <c r="G8" s="14"/>
      <c r="H8" s="28"/>
      <c r="I8" s="18"/>
      <c r="J8" s="28"/>
    </row>
    <row r="9" spans="1:10" ht="36.75" customHeight="1">
      <c r="A9" s="31" t="s">
        <v>237</v>
      </c>
      <c r="B9" s="14">
        <v>500</v>
      </c>
      <c r="C9" s="14"/>
      <c r="D9" s="14">
        <f t="shared" si="0"/>
        <v>500</v>
      </c>
      <c r="E9" s="14"/>
      <c r="F9" s="32" t="s">
        <v>238</v>
      </c>
      <c r="G9" s="14"/>
      <c r="H9" s="28"/>
      <c r="I9" s="18"/>
      <c r="J9" s="28"/>
    </row>
    <row r="10" spans="1:10" ht="36.75" customHeight="1">
      <c r="A10" s="31" t="s">
        <v>239</v>
      </c>
      <c r="B10" s="14"/>
      <c r="C10" s="14"/>
      <c r="D10" s="14">
        <f t="shared" si="0"/>
        <v>0</v>
      </c>
      <c r="E10" s="14"/>
      <c r="F10" s="33" t="s">
        <v>240</v>
      </c>
      <c r="G10" s="14"/>
      <c r="H10" s="34"/>
      <c r="I10" s="18"/>
      <c r="J10" s="34"/>
    </row>
    <row r="11" spans="1:10" ht="36.75" customHeight="1">
      <c r="A11" s="31" t="s">
        <v>241</v>
      </c>
      <c r="B11" s="14">
        <v>571</v>
      </c>
      <c r="C11" s="14"/>
      <c r="D11" s="14">
        <f t="shared" si="0"/>
        <v>571</v>
      </c>
      <c r="E11" s="14"/>
      <c r="F11" s="32" t="s">
        <v>242</v>
      </c>
      <c r="G11" s="14"/>
      <c r="H11" s="28"/>
      <c r="I11" s="18"/>
      <c r="J11" s="28"/>
    </row>
    <row r="12" spans="1:10" ht="36.75" customHeight="1">
      <c r="A12" s="25"/>
      <c r="B12" s="14"/>
      <c r="C12" s="14"/>
      <c r="D12" s="14"/>
      <c r="E12" s="14"/>
      <c r="F12" s="32" t="s">
        <v>243</v>
      </c>
      <c r="G12" s="14">
        <v>18</v>
      </c>
      <c r="H12" s="28"/>
      <c r="I12" s="18">
        <f>G12-H12</f>
        <v>18</v>
      </c>
      <c r="J12" s="28"/>
    </row>
    <row r="13" spans="1:10" ht="36.75" customHeight="1">
      <c r="A13" s="35"/>
      <c r="B13" s="36"/>
      <c r="C13" s="14"/>
      <c r="D13" s="14"/>
      <c r="E13" s="36"/>
      <c r="F13" s="32" t="s">
        <v>244</v>
      </c>
      <c r="G13" s="14"/>
      <c r="H13" s="28"/>
      <c r="I13" s="18"/>
      <c r="J13" s="28"/>
    </row>
    <row r="14" spans="1:10" ht="36.75" customHeight="1">
      <c r="A14" s="25"/>
      <c r="B14" s="14"/>
      <c r="C14" s="14"/>
      <c r="D14" s="14"/>
      <c r="E14" s="14"/>
      <c r="F14" s="32" t="s">
        <v>245</v>
      </c>
      <c r="G14" s="14"/>
      <c r="H14" s="28"/>
      <c r="I14" s="18"/>
      <c r="J14" s="28"/>
    </row>
    <row r="15" spans="1:10" ht="36.75" customHeight="1">
      <c r="A15" s="25"/>
      <c r="B15" s="14"/>
      <c r="C15" s="14"/>
      <c r="D15" s="14"/>
      <c r="E15" s="14"/>
      <c r="F15" s="32" t="s">
        <v>246</v>
      </c>
      <c r="G15" s="14">
        <v>13</v>
      </c>
      <c r="H15" s="28"/>
      <c r="I15" s="18">
        <f>G15-H15</f>
        <v>13</v>
      </c>
      <c r="J15" s="28"/>
    </row>
    <row r="16" spans="1:10" ht="36.75" customHeight="1">
      <c r="A16" s="25"/>
      <c r="B16" s="14"/>
      <c r="C16" s="14"/>
      <c r="D16" s="14"/>
      <c r="E16" s="14"/>
      <c r="F16" s="32" t="s">
        <v>247</v>
      </c>
      <c r="G16" s="14">
        <v>702</v>
      </c>
      <c r="H16" s="28"/>
      <c r="I16" s="18">
        <f>G16-H16</f>
        <v>702</v>
      </c>
      <c r="J16" s="28"/>
    </row>
    <row r="17" spans="1:10" ht="36.75" customHeight="1">
      <c r="A17" s="25"/>
      <c r="B17" s="14"/>
      <c r="C17" s="14"/>
      <c r="D17" s="14"/>
      <c r="E17" s="14"/>
      <c r="F17" s="32"/>
      <c r="G17" s="14"/>
      <c r="H17" s="28"/>
      <c r="I17" s="18"/>
      <c r="J17" s="28"/>
    </row>
    <row r="18" spans="1:250" s="5" customFormat="1" ht="36.75" customHeight="1">
      <c r="A18" s="26" t="s">
        <v>224</v>
      </c>
      <c r="B18" s="11">
        <f>B7+B8+B11+B9</f>
        <v>1467</v>
      </c>
      <c r="C18" s="11"/>
      <c r="D18" s="11">
        <f t="shared" si="0"/>
        <v>1467</v>
      </c>
      <c r="E18" s="11"/>
      <c r="F18" s="27" t="s">
        <v>225</v>
      </c>
      <c r="G18" s="11">
        <f>G12+G15+G16+G17</f>
        <v>733</v>
      </c>
      <c r="H18" s="29"/>
      <c r="I18" s="29">
        <f>G18-H18</f>
        <v>733</v>
      </c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</row>
    <row r="19" spans="1:250" s="6" customFormat="1" ht="36.75" customHeight="1">
      <c r="A19" s="25" t="s">
        <v>132</v>
      </c>
      <c r="B19" s="14"/>
      <c r="C19" s="14"/>
      <c r="D19" s="14"/>
      <c r="E19" s="14"/>
      <c r="F19" s="37" t="s">
        <v>248</v>
      </c>
      <c r="G19" s="14"/>
      <c r="H19" s="28"/>
      <c r="I19" s="18"/>
      <c r="J19" s="2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10" ht="36.75" customHeight="1">
      <c r="A20" s="31"/>
      <c r="B20" s="14"/>
      <c r="C20" s="14"/>
      <c r="D20" s="14"/>
      <c r="E20" s="14"/>
      <c r="F20" s="37" t="s">
        <v>249</v>
      </c>
      <c r="G20" s="14">
        <v>734</v>
      </c>
      <c r="H20" s="28"/>
      <c r="I20" s="18">
        <v>734</v>
      </c>
      <c r="J20" s="28"/>
    </row>
    <row r="21" spans="1:250" s="5" customFormat="1" ht="36.75" customHeight="1">
      <c r="A21" s="26" t="s">
        <v>250</v>
      </c>
      <c r="B21" s="11">
        <f>B18+B19</f>
        <v>1467</v>
      </c>
      <c r="C21" s="11"/>
      <c r="D21" s="11">
        <f t="shared" si="0"/>
        <v>1467</v>
      </c>
      <c r="E21" s="11"/>
      <c r="F21" s="27" t="s">
        <v>251</v>
      </c>
      <c r="G21" s="11">
        <f>G18+G19+G20</f>
        <v>1467</v>
      </c>
      <c r="H21" s="29"/>
      <c r="I21" s="29">
        <f>G21-H21</f>
        <v>1467</v>
      </c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</row>
  </sheetData>
  <mergeCells count="13">
    <mergeCell ref="A2:J2"/>
    <mergeCell ref="A3:C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20"/>
  <sheetViews>
    <sheetView zoomScale="70" zoomScaleNormal="70" workbookViewId="0" topLeftCell="A1">
      <selection activeCell="A1" sqref="A1"/>
    </sheetView>
  </sheetViews>
  <sheetFormatPr defaultColWidth="9.00390625" defaultRowHeight="14.25"/>
  <cols>
    <col min="1" max="1" width="35.875" style="7" customWidth="1"/>
    <col min="2" max="2" width="16.375" style="7" customWidth="1"/>
    <col min="3" max="3" width="15.50390625" style="7" customWidth="1"/>
    <col min="4" max="4" width="13.00390625" style="7" customWidth="1"/>
    <col min="5" max="5" width="13.50390625" style="7" customWidth="1"/>
    <col min="6" max="6" width="32.75390625" style="7" customWidth="1"/>
    <col min="7" max="7" width="15.875" style="8" customWidth="1"/>
    <col min="8" max="8" width="15.875" style="7" customWidth="1"/>
    <col min="9" max="9" width="15.875" style="8" customWidth="1"/>
    <col min="10" max="10" width="15.875" style="7" customWidth="1"/>
    <col min="11" max="250" width="9.00390625" style="7" customWidth="1"/>
  </cols>
  <sheetData>
    <row r="1" spans="1:2" ht="34.5" customHeight="1">
      <c r="A1" s="9" t="s">
        <v>252</v>
      </c>
      <c r="B1" s="9"/>
    </row>
    <row r="2" spans="1:10" ht="27.75" customHeight="1">
      <c r="A2" s="225" t="s">
        <v>253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6" customHeight="1">
      <c r="A3" s="234" t="s">
        <v>228</v>
      </c>
      <c r="B3" s="234"/>
      <c r="C3" s="235"/>
      <c r="D3" s="10"/>
      <c r="I3" s="236" t="s">
        <v>9</v>
      </c>
      <c r="J3" s="236"/>
    </row>
    <row r="4" spans="1:10" ht="36.75" customHeight="1">
      <c r="A4" s="237" t="s">
        <v>229</v>
      </c>
      <c r="B4" s="238"/>
      <c r="C4" s="238"/>
      <c r="D4" s="238"/>
      <c r="E4" s="239"/>
      <c r="F4" s="240" t="s">
        <v>230</v>
      </c>
      <c r="G4" s="240"/>
      <c r="H4" s="240"/>
      <c r="I4" s="240"/>
      <c r="J4" s="240"/>
    </row>
    <row r="5" spans="1:10" ht="36.75" customHeight="1">
      <c r="A5" s="230" t="s">
        <v>231</v>
      </c>
      <c r="B5" s="228" t="s">
        <v>202</v>
      </c>
      <c r="C5" s="228" t="s">
        <v>16</v>
      </c>
      <c r="D5" s="228" t="s">
        <v>203</v>
      </c>
      <c r="E5" s="228"/>
      <c r="F5" s="232" t="s">
        <v>231</v>
      </c>
      <c r="G5" s="229" t="s">
        <v>202</v>
      </c>
      <c r="H5" s="229" t="s">
        <v>16</v>
      </c>
      <c r="I5" s="229" t="s">
        <v>203</v>
      </c>
      <c r="J5" s="229"/>
    </row>
    <row r="6" spans="1:10" ht="36.75" customHeight="1">
      <c r="A6" s="231"/>
      <c r="B6" s="228"/>
      <c r="C6" s="228"/>
      <c r="D6" s="11" t="s">
        <v>20</v>
      </c>
      <c r="E6" s="12" t="s">
        <v>232</v>
      </c>
      <c r="F6" s="233"/>
      <c r="G6" s="228"/>
      <c r="H6" s="228"/>
      <c r="I6" s="11" t="s">
        <v>20</v>
      </c>
      <c r="J6" s="12" t="s">
        <v>232</v>
      </c>
    </row>
    <row r="7" spans="1:10" ht="36.75" customHeight="1">
      <c r="A7" s="13" t="s">
        <v>254</v>
      </c>
      <c r="B7" s="14">
        <v>526</v>
      </c>
      <c r="C7" s="14">
        <v>513</v>
      </c>
      <c r="D7" s="14">
        <f>B7-C7</f>
        <v>13</v>
      </c>
      <c r="E7" s="15">
        <f>D7/C7*100</f>
        <v>2.53411306042885</v>
      </c>
      <c r="F7" s="13" t="s">
        <v>255</v>
      </c>
      <c r="G7" s="14">
        <v>1643</v>
      </c>
      <c r="H7" s="14">
        <v>1559</v>
      </c>
      <c r="I7" s="18">
        <f aca="true" t="shared" si="0" ref="I7:I20">G7-H7</f>
        <v>84</v>
      </c>
      <c r="J7" s="15">
        <f>I7/H7*100</f>
        <v>5.388069275176395</v>
      </c>
    </row>
    <row r="8" spans="1:10" ht="36.75" customHeight="1">
      <c r="A8" s="16" t="s">
        <v>256</v>
      </c>
      <c r="B8" s="14">
        <v>5</v>
      </c>
      <c r="C8" s="14">
        <v>5</v>
      </c>
      <c r="D8" s="14">
        <f aca="true" t="shared" si="1" ref="D8:D20">B8-C8</f>
        <v>0</v>
      </c>
      <c r="E8" s="15">
        <f aca="true" t="shared" si="2" ref="E8:E20">D8/C8*100</f>
        <v>0</v>
      </c>
      <c r="F8" s="13" t="s">
        <v>257</v>
      </c>
      <c r="G8" s="14">
        <v>62</v>
      </c>
      <c r="H8" s="14">
        <v>44</v>
      </c>
      <c r="I8" s="18">
        <f t="shared" si="0"/>
        <v>18</v>
      </c>
      <c r="J8" s="15">
        <f>I8/H8*100</f>
        <v>40.909090909090914</v>
      </c>
    </row>
    <row r="9" spans="1:10" ht="36.75" customHeight="1">
      <c r="A9" s="17" t="s">
        <v>258</v>
      </c>
      <c r="B9" s="14">
        <v>130</v>
      </c>
      <c r="C9" s="14">
        <v>108</v>
      </c>
      <c r="D9" s="14">
        <f t="shared" si="1"/>
        <v>22</v>
      </c>
      <c r="E9" s="15">
        <f t="shared" si="2"/>
        <v>20.37037037037037</v>
      </c>
      <c r="F9" s="13" t="s">
        <v>259</v>
      </c>
      <c r="G9" s="14"/>
      <c r="H9" s="14"/>
      <c r="I9" s="18"/>
      <c r="J9" s="28"/>
    </row>
    <row r="10" spans="1:10" ht="36.75" customHeight="1">
      <c r="A10" s="17" t="s">
        <v>260</v>
      </c>
      <c r="B10" s="14">
        <v>1810</v>
      </c>
      <c r="C10" s="14">
        <v>1712</v>
      </c>
      <c r="D10" s="14">
        <f t="shared" si="1"/>
        <v>98</v>
      </c>
      <c r="E10" s="15">
        <f t="shared" si="2"/>
        <v>5.724299065420561</v>
      </c>
      <c r="F10" s="13" t="s">
        <v>261</v>
      </c>
      <c r="G10" s="14">
        <v>13</v>
      </c>
      <c r="H10" s="14">
        <v>12</v>
      </c>
      <c r="I10" s="18">
        <f t="shared" si="0"/>
        <v>1</v>
      </c>
      <c r="J10" s="15">
        <f>I10/H10*100</f>
        <v>8.333333333333332</v>
      </c>
    </row>
    <row r="11" spans="1:10" ht="36.75" customHeight="1">
      <c r="A11" s="17" t="s">
        <v>262</v>
      </c>
      <c r="B11" s="14">
        <v>1643</v>
      </c>
      <c r="C11" s="14">
        <v>1559</v>
      </c>
      <c r="D11" s="14">
        <f t="shared" si="1"/>
        <v>84</v>
      </c>
      <c r="E11" s="15">
        <f t="shared" si="2"/>
        <v>5.388069275176395</v>
      </c>
      <c r="F11" s="13"/>
      <c r="G11" s="14"/>
      <c r="H11" s="18"/>
      <c r="I11" s="18"/>
      <c r="J11" s="28"/>
    </row>
    <row r="12" spans="1:10" ht="36.75" customHeight="1">
      <c r="A12" s="17" t="s">
        <v>263</v>
      </c>
      <c r="B12" s="14">
        <v>167</v>
      </c>
      <c r="C12" s="14">
        <v>154</v>
      </c>
      <c r="D12" s="14">
        <f t="shared" si="1"/>
        <v>13</v>
      </c>
      <c r="E12" s="15">
        <f t="shared" si="2"/>
        <v>8.441558441558442</v>
      </c>
      <c r="F12" s="13"/>
      <c r="G12" s="14"/>
      <c r="H12" s="18"/>
      <c r="I12" s="18"/>
      <c r="J12" s="28"/>
    </row>
    <row r="13" spans="1:10" ht="36.75" customHeight="1">
      <c r="A13" s="17" t="s">
        <v>264</v>
      </c>
      <c r="B13" s="14"/>
      <c r="C13" s="14"/>
      <c r="D13" s="14"/>
      <c r="E13" s="15"/>
      <c r="F13" s="13"/>
      <c r="G13" s="14"/>
      <c r="H13" s="18"/>
      <c r="I13" s="18"/>
      <c r="J13" s="28"/>
    </row>
    <row r="14" spans="1:10" ht="36.75" customHeight="1">
      <c r="A14" s="17" t="s">
        <v>265</v>
      </c>
      <c r="B14" s="14">
        <v>13</v>
      </c>
      <c r="C14" s="14">
        <v>13</v>
      </c>
      <c r="D14" s="14">
        <f t="shared" si="1"/>
        <v>0</v>
      </c>
      <c r="E14" s="15">
        <f t="shared" si="2"/>
        <v>0</v>
      </c>
      <c r="F14" s="13"/>
      <c r="G14" s="14"/>
      <c r="H14" s="18"/>
      <c r="I14" s="18"/>
      <c r="J14" s="28"/>
    </row>
    <row r="15" spans="1:250" s="5" customFormat="1" ht="36.75" customHeight="1">
      <c r="A15" s="19" t="s">
        <v>224</v>
      </c>
      <c r="B15" s="11">
        <f>SUM(B7:B10,B13:B14)</f>
        <v>2484</v>
      </c>
      <c r="C15" s="11">
        <f>SUM(C7:C10,C13:C14)</f>
        <v>2351</v>
      </c>
      <c r="D15" s="11">
        <f t="shared" si="1"/>
        <v>133</v>
      </c>
      <c r="E15" s="20">
        <f t="shared" si="2"/>
        <v>5.6571671629094</v>
      </c>
      <c r="F15" s="21" t="s">
        <v>225</v>
      </c>
      <c r="G15" s="11">
        <f>SUM(G7:G10)</f>
        <v>1718</v>
      </c>
      <c r="H15" s="11">
        <f>SUM(H7:H10)</f>
        <v>1615</v>
      </c>
      <c r="I15" s="29">
        <f t="shared" si="0"/>
        <v>103</v>
      </c>
      <c r="J15" s="20">
        <f aca="true" t="shared" si="3" ref="J15:J20">I15/H15*100</f>
        <v>6.377708978328174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</row>
    <row r="16" spans="1:250" s="6" customFormat="1" ht="36.75" customHeight="1">
      <c r="A16" s="22" t="s">
        <v>207</v>
      </c>
      <c r="B16" s="14"/>
      <c r="C16" s="23">
        <v>0</v>
      </c>
      <c r="D16" s="14"/>
      <c r="E16" s="15"/>
      <c r="F16" s="24" t="s">
        <v>266</v>
      </c>
      <c r="G16" s="14"/>
      <c r="H16" s="18"/>
      <c r="I16" s="18"/>
      <c r="J16" s="2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6" customFormat="1" ht="36.75" customHeight="1">
      <c r="A17" s="22" t="s">
        <v>267</v>
      </c>
      <c r="B17" s="14"/>
      <c r="C17" s="23">
        <v>0</v>
      </c>
      <c r="D17" s="14"/>
      <c r="E17" s="15"/>
      <c r="F17" s="24" t="s">
        <v>70</v>
      </c>
      <c r="G17" s="14"/>
      <c r="H17" s="18"/>
      <c r="I17" s="18"/>
      <c r="J17" s="2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6" customFormat="1" ht="36.75" customHeight="1">
      <c r="A18" s="25" t="s">
        <v>268</v>
      </c>
      <c r="B18" s="14">
        <v>3689</v>
      </c>
      <c r="C18" s="14">
        <v>2953</v>
      </c>
      <c r="D18" s="14">
        <f t="shared" si="1"/>
        <v>736</v>
      </c>
      <c r="E18" s="15">
        <f t="shared" si="2"/>
        <v>24.92380629867931</v>
      </c>
      <c r="F18" s="24" t="s">
        <v>269</v>
      </c>
      <c r="G18" s="14">
        <f>B15-G15</f>
        <v>766</v>
      </c>
      <c r="H18" s="18">
        <f>C15-H15</f>
        <v>736</v>
      </c>
      <c r="I18" s="18">
        <f t="shared" si="0"/>
        <v>30</v>
      </c>
      <c r="J18" s="15">
        <f t="shared" si="3"/>
        <v>4.076086956521739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6" customFormat="1" ht="36.75" customHeight="1">
      <c r="A19" s="25"/>
      <c r="B19" s="14"/>
      <c r="C19" s="14"/>
      <c r="D19" s="14"/>
      <c r="E19" s="15"/>
      <c r="F19" s="24" t="s">
        <v>270</v>
      </c>
      <c r="G19" s="14">
        <f>B18+G18</f>
        <v>4455</v>
      </c>
      <c r="H19" s="18">
        <f>C18+H18</f>
        <v>3689</v>
      </c>
      <c r="I19" s="18">
        <f t="shared" si="0"/>
        <v>766</v>
      </c>
      <c r="J19" s="15">
        <f t="shared" si="3"/>
        <v>20.76443480618054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5" customFormat="1" ht="36.75" customHeight="1">
      <c r="A20" s="26" t="s">
        <v>250</v>
      </c>
      <c r="B20" s="11">
        <f>B15+B16-B17+B18</f>
        <v>6173</v>
      </c>
      <c r="C20" s="11">
        <f>C15+C16-C17+C18</f>
        <v>5304</v>
      </c>
      <c r="D20" s="11">
        <f t="shared" si="1"/>
        <v>869</v>
      </c>
      <c r="E20" s="20">
        <f t="shared" si="2"/>
        <v>16.383861236802414</v>
      </c>
      <c r="F20" s="27" t="s">
        <v>251</v>
      </c>
      <c r="G20" s="11">
        <f>G15+G19</f>
        <v>6173</v>
      </c>
      <c r="H20" s="11">
        <f>H15+H19</f>
        <v>5304</v>
      </c>
      <c r="I20" s="29">
        <f t="shared" si="0"/>
        <v>869</v>
      </c>
      <c r="J20" s="20">
        <f t="shared" si="3"/>
        <v>16.383861236802414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</row>
  </sheetData>
  <mergeCells count="13">
    <mergeCell ref="A2:J2"/>
    <mergeCell ref="A3:C3"/>
    <mergeCell ref="I3:J3"/>
    <mergeCell ref="A4:E4"/>
    <mergeCell ref="F4:J4"/>
    <mergeCell ref="D5:E5"/>
    <mergeCell ref="I5:J5"/>
    <mergeCell ref="A5:A6"/>
    <mergeCell ref="B5:B6"/>
    <mergeCell ref="C5:C6"/>
    <mergeCell ref="F5:F6"/>
    <mergeCell ref="G5:G6"/>
    <mergeCell ref="H5:H6"/>
  </mergeCells>
  <printOptions horizontalCentered="1"/>
  <pageMargins left="0.5506944444444445" right="0.3541666666666667" top="0.7868055555555555" bottom="0.7868055555555555" header="0.5111111111111111" footer="0.5111111111111111"/>
  <pageSetup horizontalDpi="600" verticalDpi="600" orientation="landscape" paperSize="8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9"/>
  <sheetViews>
    <sheetView showGridLines="0" showZeros="0"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M34" sqref="M34"/>
    </sheetView>
  </sheetViews>
  <sheetFormatPr defaultColWidth="6.875" defaultRowHeight="18.75" customHeight="1"/>
  <cols>
    <col min="1" max="1" width="18.75390625" style="3" customWidth="1"/>
    <col min="2" max="2" width="7.375" style="3" hidden="1" customWidth="1"/>
    <col min="3" max="3" width="56.75390625" style="3" customWidth="1"/>
    <col min="4" max="7" width="27.25390625" style="3" customWidth="1"/>
    <col min="8" max="8" width="24.875" style="3" customWidth="1"/>
    <col min="9" max="215" width="6.875" style="3" customWidth="1"/>
    <col min="216" max="16384" width="6.875" style="3" customWidth="1"/>
  </cols>
  <sheetData>
    <row r="1" spans="1:8" s="1" customFormat="1" ht="24" customHeight="1">
      <c r="A1" s="176" t="s">
        <v>271</v>
      </c>
      <c r="B1" s="177"/>
      <c r="C1" s="178"/>
      <c r="D1" s="178"/>
      <c r="E1" s="178"/>
      <c r="F1" s="178"/>
      <c r="G1" s="178"/>
      <c r="H1" s="179"/>
    </row>
    <row r="2" spans="1:8" s="2" customFormat="1" ht="31.5" customHeight="1">
      <c r="A2" s="241" t="s">
        <v>272</v>
      </c>
      <c r="B2" s="241"/>
      <c r="C2" s="241"/>
      <c r="D2" s="241"/>
      <c r="E2" s="241"/>
      <c r="F2" s="241"/>
      <c r="G2" s="241"/>
      <c r="H2" s="241"/>
    </row>
    <row r="3" spans="1:8" s="1" customFormat="1" ht="19.5" customHeight="1">
      <c r="A3" s="180" t="s">
        <v>273</v>
      </c>
      <c r="B3" s="180"/>
      <c r="C3" s="178"/>
      <c r="D3" s="178"/>
      <c r="E3" s="178"/>
      <c r="F3" s="178"/>
      <c r="G3" s="178" t="s">
        <v>739</v>
      </c>
      <c r="H3" s="179"/>
    </row>
    <row r="4" spans="1:8" ht="32.25" customHeight="1">
      <c r="A4" s="242" t="s">
        <v>274</v>
      </c>
      <c r="B4" s="243" t="s">
        <v>275</v>
      </c>
      <c r="C4" s="242" t="s">
        <v>276</v>
      </c>
      <c r="D4" s="242" t="s">
        <v>277</v>
      </c>
      <c r="E4" s="244" t="s">
        <v>278</v>
      </c>
      <c r="F4" s="244" t="s">
        <v>279</v>
      </c>
      <c r="G4" s="242" t="s">
        <v>280</v>
      </c>
      <c r="H4" s="244" t="s">
        <v>281</v>
      </c>
    </row>
    <row r="5" spans="1:8" ht="63" customHeight="1">
      <c r="A5" s="242"/>
      <c r="B5" s="243"/>
      <c r="C5" s="242"/>
      <c r="D5" s="242"/>
      <c r="E5" s="244"/>
      <c r="F5" s="244"/>
      <c r="G5" s="242"/>
      <c r="H5" s="244"/>
    </row>
    <row r="6" spans="1:8" ht="19.5" customHeight="1" hidden="1">
      <c r="A6" s="182" t="s">
        <v>282</v>
      </c>
      <c r="B6" s="182" t="s">
        <v>282</v>
      </c>
      <c r="C6" s="182" t="s">
        <v>282</v>
      </c>
      <c r="D6" s="4">
        <v>1</v>
      </c>
      <c r="E6" s="4">
        <v>2</v>
      </c>
      <c r="F6" s="4">
        <v>30</v>
      </c>
      <c r="G6" s="4">
        <v>16</v>
      </c>
      <c r="H6" s="173"/>
    </row>
    <row r="7" spans="1:8" ht="19.5" customHeight="1">
      <c r="A7" s="183"/>
      <c r="B7" s="183"/>
      <c r="C7" s="181" t="s">
        <v>277</v>
      </c>
      <c r="D7" s="184">
        <v>74056.83</v>
      </c>
      <c r="E7" s="184">
        <v>27849.61</v>
      </c>
      <c r="F7" s="184">
        <v>1636.4</v>
      </c>
      <c r="G7" s="184">
        <v>7143.1</v>
      </c>
      <c r="H7" s="184">
        <v>37427.72</v>
      </c>
    </row>
    <row r="8" spans="1:8" ht="15.75" customHeight="1">
      <c r="A8" s="185" t="s">
        <v>283</v>
      </c>
      <c r="B8" s="185"/>
      <c r="C8" s="185" t="s">
        <v>284</v>
      </c>
      <c r="D8" s="184">
        <v>9840.64</v>
      </c>
      <c r="E8" s="184">
        <v>4605.54</v>
      </c>
      <c r="F8" s="184">
        <v>229.3</v>
      </c>
      <c r="G8" s="184">
        <v>385.14</v>
      </c>
      <c r="H8" s="184">
        <v>4620.66</v>
      </c>
    </row>
    <row r="9" spans="1:8" ht="15.75" customHeight="1">
      <c r="A9" s="185" t="s">
        <v>285</v>
      </c>
      <c r="B9" s="185"/>
      <c r="C9" s="185" t="s">
        <v>286</v>
      </c>
      <c r="D9" s="184">
        <v>256.31</v>
      </c>
      <c r="E9" s="184">
        <v>143.36</v>
      </c>
      <c r="F9" s="184">
        <v>22.76</v>
      </c>
      <c r="G9" s="184">
        <v>11.49</v>
      </c>
      <c r="H9" s="184">
        <v>78.7</v>
      </c>
    </row>
    <row r="10" spans="1:8" ht="15.75" customHeight="1">
      <c r="A10" s="185" t="s">
        <v>287</v>
      </c>
      <c r="B10" s="185"/>
      <c r="C10" s="185" t="s">
        <v>288</v>
      </c>
      <c r="D10" s="184">
        <v>256.31</v>
      </c>
      <c r="E10" s="184">
        <v>143.36</v>
      </c>
      <c r="F10" s="184">
        <v>22.76</v>
      </c>
      <c r="G10" s="184">
        <v>11.49</v>
      </c>
      <c r="H10" s="184">
        <v>78.7</v>
      </c>
    </row>
    <row r="11" spans="1:8" ht="15.75" customHeight="1">
      <c r="A11" s="185" t="s">
        <v>289</v>
      </c>
      <c r="B11" s="185"/>
      <c r="C11" s="185" t="s">
        <v>290</v>
      </c>
      <c r="D11" s="184">
        <v>206.43</v>
      </c>
      <c r="E11" s="184">
        <v>106.64</v>
      </c>
      <c r="F11" s="184">
        <v>19.19</v>
      </c>
      <c r="G11" s="184">
        <v>9.25</v>
      </c>
      <c r="H11" s="184">
        <v>71.35</v>
      </c>
    </row>
    <row r="12" spans="1:8" ht="15.75" customHeight="1">
      <c r="A12" s="185" t="s">
        <v>287</v>
      </c>
      <c r="B12" s="185"/>
      <c r="C12" s="185" t="s">
        <v>291</v>
      </c>
      <c r="D12" s="184">
        <v>206.43</v>
      </c>
      <c r="E12" s="184">
        <v>106.64</v>
      </c>
      <c r="F12" s="184">
        <v>19.19</v>
      </c>
      <c r="G12" s="184">
        <v>9.25</v>
      </c>
      <c r="H12" s="184">
        <v>71.35</v>
      </c>
    </row>
    <row r="13" spans="1:8" ht="15.75" customHeight="1">
      <c r="A13" s="185" t="s">
        <v>292</v>
      </c>
      <c r="B13" s="185"/>
      <c r="C13" s="185" t="s">
        <v>293</v>
      </c>
      <c r="D13" s="184">
        <f>2629.93+260</f>
        <v>2889.93</v>
      </c>
      <c r="E13" s="184">
        <v>2168.52</v>
      </c>
      <c r="F13" s="184">
        <v>41.51</v>
      </c>
      <c r="G13" s="184">
        <v>181.78</v>
      </c>
      <c r="H13" s="184">
        <v>498.12</v>
      </c>
    </row>
    <row r="14" spans="1:8" ht="15.75" customHeight="1">
      <c r="A14" s="185" t="s">
        <v>287</v>
      </c>
      <c r="B14" s="185"/>
      <c r="C14" s="185" t="s">
        <v>294</v>
      </c>
      <c r="D14" s="184">
        <v>2060.25</v>
      </c>
      <c r="E14" s="184">
        <v>1612.65</v>
      </c>
      <c r="F14" s="184">
        <v>40.06</v>
      </c>
      <c r="G14" s="184">
        <v>179.42</v>
      </c>
      <c r="H14" s="184">
        <v>228.12</v>
      </c>
    </row>
    <row r="15" spans="1:8" ht="15.75" customHeight="1">
      <c r="A15" s="185" t="s">
        <v>295</v>
      </c>
      <c r="B15" s="185"/>
      <c r="C15" s="185" t="s">
        <v>296</v>
      </c>
      <c r="D15" s="184">
        <v>45.71</v>
      </c>
      <c r="E15" s="184">
        <v>31.9</v>
      </c>
      <c r="F15" s="184">
        <v>1.45</v>
      </c>
      <c r="G15" s="184">
        <v>2.36</v>
      </c>
      <c r="H15" s="184">
        <v>10</v>
      </c>
    </row>
    <row r="16" spans="1:8" ht="15.75" customHeight="1">
      <c r="A16" s="185" t="s">
        <v>297</v>
      </c>
      <c r="B16" s="185"/>
      <c r="C16" s="185" t="s">
        <v>298</v>
      </c>
      <c r="D16" s="184">
        <f>523.97+260</f>
        <v>783.97</v>
      </c>
      <c r="E16" s="184">
        <v>523.97</v>
      </c>
      <c r="F16" s="184">
        <v>0</v>
      </c>
      <c r="G16" s="184">
        <v>0</v>
      </c>
      <c r="H16" s="184">
        <v>260</v>
      </c>
    </row>
    <row r="17" spans="1:8" ht="15.75" customHeight="1">
      <c r="A17" s="185" t="s">
        <v>299</v>
      </c>
      <c r="B17" s="185"/>
      <c r="C17" s="185" t="s">
        <v>300</v>
      </c>
      <c r="D17" s="184">
        <v>351.63</v>
      </c>
      <c r="E17" s="184">
        <v>145.53</v>
      </c>
      <c r="F17" s="184">
        <v>4.65</v>
      </c>
      <c r="G17" s="184">
        <v>13.37</v>
      </c>
      <c r="H17" s="184">
        <v>188.08</v>
      </c>
    </row>
    <row r="18" spans="1:8" ht="15.75" customHeight="1">
      <c r="A18" s="185" t="s">
        <v>287</v>
      </c>
      <c r="B18" s="185"/>
      <c r="C18" s="185" t="s">
        <v>301</v>
      </c>
      <c r="D18" s="184">
        <v>65.5</v>
      </c>
      <c r="E18" s="184">
        <v>53.83</v>
      </c>
      <c r="F18" s="184">
        <v>1.8</v>
      </c>
      <c r="G18" s="184">
        <v>5.29</v>
      </c>
      <c r="H18" s="184">
        <v>4.58</v>
      </c>
    </row>
    <row r="19" spans="1:8" ht="15.75" customHeight="1">
      <c r="A19" s="185" t="s">
        <v>302</v>
      </c>
      <c r="B19" s="185"/>
      <c r="C19" s="185" t="s">
        <v>303</v>
      </c>
      <c r="D19" s="184">
        <v>30.21</v>
      </c>
      <c r="E19" s="184">
        <v>27.23</v>
      </c>
      <c r="F19" s="184">
        <v>0.75</v>
      </c>
      <c r="G19" s="184">
        <v>2.23</v>
      </c>
      <c r="H19" s="184">
        <v>0</v>
      </c>
    </row>
    <row r="20" spans="1:8" ht="15.75" customHeight="1">
      <c r="A20" s="185" t="s">
        <v>295</v>
      </c>
      <c r="B20" s="185"/>
      <c r="C20" s="185" t="s">
        <v>304</v>
      </c>
      <c r="D20" s="184">
        <v>73.89</v>
      </c>
      <c r="E20" s="184">
        <v>53.62</v>
      </c>
      <c r="F20" s="184">
        <v>1.8</v>
      </c>
      <c r="G20" s="184">
        <v>4.97</v>
      </c>
      <c r="H20" s="184">
        <v>13.5</v>
      </c>
    </row>
    <row r="21" spans="1:8" ht="15.75" customHeight="1">
      <c r="A21" s="185" t="s">
        <v>305</v>
      </c>
      <c r="B21" s="185"/>
      <c r="C21" s="185" t="s">
        <v>306</v>
      </c>
      <c r="D21" s="184">
        <v>12.03</v>
      </c>
      <c r="E21" s="184">
        <v>10.85</v>
      </c>
      <c r="F21" s="184">
        <v>0.3</v>
      </c>
      <c r="G21" s="184">
        <v>0.88</v>
      </c>
      <c r="H21" s="184">
        <v>0</v>
      </c>
    </row>
    <row r="22" spans="1:8" ht="15.75" customHeight="1">
      <c r="A22" s="185" t="s">
        <v>297</v>
      </c>
      <c r="B22" s="185"/>
      <c r="C22" s="185" t="s">
        <v>307</v>
      </c>
      <c r="D22" s="184">
        <v>170</v>
      </c>
      <c r="E22" s="184">
        <v>0</v>
      </c>
      <c r="F22" s="184">
        <v>0</v>
      </c>
      <c r="G22" s="184">
        <v>0</v>
      </c>
      <c r="H22" s="184">
        <v>170</v>
      </c>
    </row>
    <row r="23" spans="1:8" ht="15.75" customHeight="1">
      <c r="A23" s="185" t="s">
        <v>308</v>
      </c>
      <c r="B23" s="185"/>
      <c r="C23" s="185" t="s">
        <v>309</v>
      </c>
      <c r="D23" s="184">
        <v>274.06</v>
      </c>
      <c r="E23" s="184">
        <v>170.23</v>
      </c>
      <c r="F23" s="184">
        <v>5.4</v>
      </c>
      <c r="G23" s="184">
        <v>14.16</v>
      </c>
      <c r="H23" s="184">
        <v>84.27</v>
      </c>
    </row>
    <row r="24" spans="1:8" ht="15.75" customHeight="1">
      <c r="A24" s="185" t="s">
        <v>287</v>
      </c>
      <c r="B24" s="185"/>
      <c r="C24" s="185" t="s">
        <v>310</v>
      </c>
      <c r="D24" s="184">
        <v>274.06</v>
      </c>
      <c r="E24" s="184">
        <v>170.23</v>
      </c>
      <c r="F24" s="184">
        <v>5.4</v>
      </c>
      <c r="G24" s="184">
        <v>14.16</v>
      </c>
      <c r="H24" s="184">
        <v>84.27</v>
      </c>
    </row>
    <row r="25" spans="1:8" ht="15.75" customHeight="1">
      <c r="A25" s="185" t="s">
        <v>311</v>
      </c>
      <c r="B25" s="185"/>
      <c r="C25" s="185" t="s">
        <v>312</v>
      </c>
      <c r="D25" s="184">
        <f>887.69-260</f>
        <v>627.69</v>
      </c>
      <c r="E25" s="184">
        <v>394.25</v>
      </c>
      <c r="F25" s="184">
        <v>8.7</v>
      </c>
      <c r="G25" s="184">
        <v>34.74</v>
      </c>
      <c r="H25" s="184">
        <v>190</v>
      </c>
    </row>
    <row r="26" spans="1:8" ht="15.75" customHeight="1">
      <c r="A26" s="185" t="s">
        <v>287</v>
      </c>
      <c r="B26" s="185"/>
      <c r="C26" s="185" t="s">
        <v>313</v>
      </c>
      <c r="D26" s="184">
        <v>296.26</v>
      </c>
      <c r="E26" s="184">
        <v>205.97</v>
      </c>
      <c r="F26" s="184">
        <v>6.15</v>
      </c>
      <c r="G26" s="184">
        <v>24.14</v>
      </c>
      <c r="H26" s="184">
        <v>60</v>
      </c>
    </row>
    <row r="27" spans="1:8" ht="15.75" customHeight="1">
      <c r="A27" s="185" t="s">
        <v>305</v>
      </c>
      <c r="B27" s="185"/>
      <c r="C27" s="185" t="s">
        <v>314</v>
      </c>
      <c r="D27" s="184">
        <v>176.94</v>
      </c>
      <c r="E27" s="184">
        <v>163.79</v>
      </c>
      <c r="F27" s="184">
        <v>2.55</v>
      </c>
      <c r="G27" s="184">
        <v>10.6</v>
      </c>
      <c r="H27" s="184">
        <v>0</v>
      </c>
    </row>
    <row r="28" spans="1:8" ht="15.75" customHeight="1">
      <c r="A28" s="185" t="s">
        <v>297</v>
      </c>
      <c r="B28" s="185"/>
      <c r="C28" s="185" t="s">
        <v>315</v>
      </c>
      <c r="D28" s="184">
        <f>414.49-260</f>
        <v>154.49</v>
      </c>
      <c r="E28" s="184">
        <v>24.49</v>
      </c>
      <c r="F28" s="184">
        <v>0</v>
      </c>
      <c r="G28" s="184">
        <v>0</v>
      </c>
      <c r="H28" s="184">
        <v>130</v>
      </c>
    </row>
    <row r="29" spans="1:8" ht="15.75" customHeight="1">
      <c r="A29" s="185" t="s">
        <v>316</v>
      </c>
      <c r="B29" s="185"/>
      <c r="C29" s="185" t="s">
        <v>317</v>
      </c>
      <c r="D29" s="184">
        <v>514</v>
      </c>
      <c r="E29" s="184">
        <v>0</v>
      </c>
      <c r="F29" s="184">
        <v>0</v>
      </c>
      <c r="G29" s="184">
        <v>0</v>
      </c>
      <c r="H29" s="184">
        <v>514</v>
      </c>
    </row>
    <row r="30" spans="1:8" ht="15.75" customHeight="1">
      <c r="A30" s="185" t="s">
        <v>297</v>
      </c>
      <c r="B30" s="185"/>
      <c r="C30" s="185" t="s">
        <v>318</v>
      </c>
      <c r="D30" s="184">
        <v>514</v>
      </c>
      <c r="E30" s="184">
        <v>0</v>
      </c>
      <c r="F30" s="184">
        <v>0</v>
      </c>
      <c r="G30" s="184">
        <v>0</v>
      </c>
      <c r="H30" s="184">
        <v>514</v>
      </c>
    </row>
    <row r="31" spans="1:8" ht="15.75" customHeight="1">
      <c r="A31" s="185" t="s">
        <v>319</v>
      </c>
      <c r="B31" s="185"/>
      <c r="C31" s="185" t="s">
        <v>320</v>
      </c>
      <c r="D31" s="184">
        <v>145.54</v>
      </c>
      <c r="E31" s="184">
        <v>100.81</v>
      </c>
      <c r="F31" s="184">
        <v>3.1</v>
      </c>
      <c r="G31" s="184">
        <v>7.75</v>
      </c>
      <c r="H31" s="184">
        <v>33.88</v>
      </c>
    </row>
    <row r="32" spans="1:8" ht="15.75" customHeight="1">
      <c r="A32" s="185" t="s">
        <v>287</v>
      </c>
      <c r="B32" s="185"/>
      <c r="C32" s="185" t="s">
        <v>321</v>
      </c>
      <c r="D32" s="184">
        <v>135.12</v>
      </c>
      <c r="E32" s="184">
        <v>91.36</v>
      </c>
      <c r="F32" s="184">
        <v>2.8</v>
      </c>
      <c r="G32" s="184">
        <v>7.08</v>
      </c>
      <c r="H32" s="184">
        <v>33.88</v>
      </c>
    </row>
    <row r="33" spans="1:8" ht="15.75" customHeight="1">
      <c r="A33" s="185" t="s">
        <v>305</v>
      </c>
      <c r="B33" s="185"/>
      <c r="C33" s="185" t="s">
        <v>322</v>
      </c>
      <c r="D33" s="184">
        <v>10.42</v>
      </c>
      <c r="E33" s="184">
        <v>9.45</v>
      </c>
      <c r="F33" s="184">
        <v>0.3</v>
      </c>
      <c r="G33" s="184">
        <v>0.67</v>
      </c>
      <c r="H33" s="184">
        <v>0</v>
      </c>
    </row>
    <row r="34" spans="1:8" ht="15.75" customHeight="1">
      <c r="A34" s="185" t="s">
        <v>323</v>
      </c>
      <c r="B34" s="185"/>
      <c r="C34" s="185" t="s">
        <v>324</v>
      </c>
      <c r="D34" s="184">
        <v>208.08</v>
      </c>
      <c r="E34" s="184">
        <v>120.37</v>
      </c>
      <c r="F34" s="184">
        <v>4.2</v>
      </c>
      <c r="G34" s="184">
        <v>11.51</v>
      </c>
      <c r="H34" s="184">
        <v>72</v>
      </c>
    </row>
    <row r="35" spans="1:8" ht="15.75" customHeight="1">
      <c r="A35" s="185" t="s">
        <v>287</v>
      </c>
      <c r="B35" s="185"/>
      <c r="C35" s="185" t="s">
        <v>325</v>
      </c>
      <c r="D35" s="184">
        <v>208.08</v>
      </c>
      <c r="E35" s="184">
        <v>120.37</v>
      </c>
      <c r="F35" s="184">
        <v>4.2</v>
      </c>
      <c r="G35" s="184">
        <v>11.51</v>
      </c>
      <c r="H35" s="184">
        <v>72</v>
      </c>
    </row>
    <row r="36" spans="1:8" ht="15.75" customHeight="1">
      <c r="A36" s="185" t="s">
        <v>326</v>
      </c>
      <c r="B36" s="185"/>
      <c r="C36" s="185" t="s">
        <v>327</v>
      </c>
      <c r="D36" s="184">
        <v>303.05</v>
      </c>
      <c r="E36" s="184">
        <v>177.46</v>
      </c>
      <c r="F36" s="184">
        <v>51.9</v>
      </c>
      <c r="G36" s="184">
        <v>13.69</v>
      </c>
      <c r="H36" s="184">
        <v>60</v>
      </c>
    </row>
    <row r="37" spans="1:8" ht="15.75" customHeight="1">
      <c r="A37" s="185" t="s">
        <v>287</v>
      </c>
      <c r="B37" s="185"/>
      <c r="C37" s="185" t="s">
        <v>328</v>
      </c>
      <c r="D37" s="184">
        <v>303.05</v>
      </c>
      <c r="E37" s="184">
        <v>177.46</v>
      </c>
      <c r="F37" s="184">
        <v>51.9</v>
      </c>
      <c r="G37" s="184">
        <v>13.69</v>
      </c>
      <c r="H37" s="184">
        <v>60</v>
      </c>
    </row>
    <row r="38" spans="1:8" ht="15.75" customHeight="1">
      <c r="A38" s="185" t="s">
        <v>329</v>
      </c>
      <c r="B38" s="185"/>
      <c r="C38" s="185" t="s">
        <v>330</v>
      </c>
      <c r="D38" s="184">
        <v>309.87</v>
      </c>
      <c r="E38" s="184">
        <v>218.63</v>
      </c>
      <c r="F38" s="184">
        <v>6.95</v>
      </c>
      <c r="G38" s="184">
        <v>19.52</v>
      </c>
      <c r="H38" s="184">
        <v>64.77</v>
      </c>
    </row>
    <row r="39" spans="1:8" ht="15.75" customHeight="1">
      <c r="A39" s="185" t="s">
        <v>287</v>
      </c>
      <c r="B39" s="185"/>
      <c r="C39" s="185" t="s">
        <v>331</v>
      </c>
      <c r="D39" s="184">
        <v>210.2</v>
      </c>
      <c r="E39" s="184">
        <v>155.93</v>
      </c>
      <c r="F39" s="184">
        <v>4.85</v>
      </c>
      <c r="G39" s="184">
        <v>14.65</v>
      </c>
      <c r="H39" s="184">
        <v>34.77</v>
      </c>
    </row>
    <row r="40" spans="1:8" ht="15.75" customHeight="1">
      <c r="A40" s="185" t="s">
        <v>332</v>
      </c>
      <c r="B40" s="185"/>
      <c r="C40" s="185" t="s">
        <v>333</v>
      </c>
      <c r="D40" s="184">
        <v>49.98</v>
      </c>
      <c r="E40" s="184">
        <v>45.04</v>
      </c>
      <c r="F40" s="184">
        <v>1.4</v>
      </c>
      <c r="G40" s="184">
        <v>3.54</v>
      </c>
      <c r="H40" s="184">
        <v>0</v>
      </c>
    </row>
    <row r="41" spans="1:8" ht="15.75" customHeight="1">
      <c r="A41" s="185" t="s">
        <v>295</v>
      </c>
      <c r="B41" s="185"/>
      <c r="C41" s="185" t="s">
        <v>334</v>
      </c>
      <c r="D41" s="184">
        <v>30</v>
      </c>
      <c r="E41" s="184">
        <v>0</v>
      </c>
      <c r="F41" s="184">
        <v>0</v>
      </c>
      <c r="G41" s="184">
        <v>0</v>
      </c>
      <c r="H41" s="184">
        <v>30</v>
      </c>
    </row>
    <row r="42" spans="1:8" ht="15.75" customHeight="1">
      <c r="A42" s="185" t="s">
        <v>305</v>
      </c>
      <c r="B42" s="185"/>
      <c r="C42" s="185" t="s">
        <v>335</v>
      </c>
      <c r="D42" s="184">
        <v>19.43</v>
      </c>
      <c r="E42" s="184">
        <v>17.4</v>
      </c>
      <c r="F42" s="184">
        <v>0.7</v>
      </c>
      <c r="G42" s="184">
        <v>1.33</v>
      </c>
      <c r="H42" s="184">
        <v>0</v>
      </c>
    </row>
    <row r="43" spans="1:8" ht="15.75" customHeight="1">
      <c r="A43" s="185" t="s">
        <v>297</v>
      </c>
      <c r="B43" s="185"/>
      <c r="C43" s="185" t="s">
        <v>336</v>
      </c>
      <c r="D43" s="184">
        <v>0.26</v>
      </c>
      <c r="E43" s="184">
        <v>0.26</v>
      </c>
      <c r="F43" s="184">
        <v>0</v>
      </c>
      <c r="G43" s="184">
        <v>0</v>
      </c>
      <c r="H43" s="184">
        <v>0</v>
      </c>
    </row>
    <row r="44" spans="1:8" ht="15.75" customHeight="1">
      <c r="A44" s="185" t="s">
        <v>337</v>
      </c>
      <c r="B44" s="185"/>
      <c r="C44" s="185" t="s">
        <v>338</v>
      </c>
      <c r="D44" s="184">
        <v>158</v>
      </c>
      <c r="E44" s="184">
        <v>0</v>
      </c>
      <c r="F44" s="184">
        <v>0</v>
      </c>
      <c r="G44" s="184">
        <v>0</v>
      </c>
      <c r="H44" s="184">
        <v>158</v>
      </c>
    </row>
    <row r="45" spans="1:8" ht="15.75" customHeight="1">
      <c r="A45" s="185" t="s">
        <v>287</v>
      </c>
      <c r="B45" s="185"/>
      <c r="C45" s="185" t="s">
        <v>339</v>
      </c>
      <c r="D45" s="184">
        <v>158</v>
      </c>
      <c r="E45" s="184">
        <v>0</v>
      </c>
      <c r="F45" s="184">
        <v>0</v>
      </c>
      <c r="G45" s="184">
        <v>0</v>
      </c>
      <c r="H45" s="184">
        <v>158</v>
      </c>
    </row>
    <row r="46" spans="1:8" ht="15.75" customHeight="1">
      <c r="A46" s="185" t="s">
        <v>340</v>
      </c>
      <c r="B46" s="185"/>
      <c r="C46" s="185" t="s">
        <v>341</v>
      </c>
      <c r="D46" s="184">
        <v>45.59</v>
      </c>
      <c r="E46" s="184">
        <v>33.47</v>
      </c>
      <c r="F46" s="184">
        <v>1</v>
      </c>
      <c r="G46" s="184">
        <v>2.62</v>
      </c>
      <c r="H46" s="184">
        <v>8.5</v>
      </c>
    </row>
    <row r="47" spans="1:8" ht="15.75" customHeight="1">
      <c r="A47" s="185" t="s">
        <v>305</v>
      </c>
      <c r="B47" s="185"/>
      <c r="C47" s="185" t="s">
        <v>342</v>
      </c>
      <c r="D47" s="184">
        <v>45.59</v>
      </c>
      <c r="E47" s="184">
        <v>33.47</v>
      </c>
      <c r="F47" s="184">
        <v>1</v>
      </c>
      <c r="G47" s="184">
        <v>2.62</v>
      </c>
      <c r="H47" s="184">
        <v>8.5</v>
      </c>
    </row>
    <row r="48" spans="1:8" ht="15.75" customHeight="1">
      <c r="A48" s="185" t="s">
        <v>343</v>
      </c>
      <c r="B48" s="185"/>
      <c r="C48" s="185" t="s">
        <v>344</v>
      </c>
      <c r="D48" s="184">
        <v>31.16</v>
      </c>
      <c r="E48" s="184">
        <v>14.98</v>
      </c>
      <c r="F48" s="184">
        <v>0.4</v>
      </c>
      <c r="G48" s="184">
        <v>1.18</v>
      </c>
      <c r="H48" s="184">
        <v>14.6</v>
      </c>
    </row>
    <row r="49" spans="1:8" ht="15.75" customHeight="1">
      <c r="A49" s="185" t="s">
        <v>287</v>
      </c>
      <c r="B49" s="185"/>
      <c r="C49" s="185" t="s">
        <v>345</v>
      </c>
      <c r="D49" s="184">
        <v>21.16</v>
      </c>
      <c r="E49" s="184">
        <v>14.98</v>
      </c>
      <c r="F49" s="184">
        <v>0.4</v>
      </c>
      <c r="G49" s="184">
        <v>1.18</v>
      </c>
      <c r="H49" s="184">
        <v>4.6</v>
      </c>
    </row>
    <row r="50" spans="1:8" ht="15.75" customHeight="1">
      <c r="A50" s="185" t="s">
        <v>346</v>
      </c>
      <c r="B50" s="185"/>
      <c r="C50" s="185" t="s">
        <v>347</v>
      </c>
      <c r="D50" s="184">
        <v>10</v>
      </c>
      <c r="E50" s="184">
        <v>0</v>
      </c>
      <c r="F50" s="184">
        <v>0</v>
      </c>
      <c r="G50" s="184">
        <v>0</v>
      </c>
      <c r="H50" s="184">
        <v>10</v>
      </c>
    </row>
    <row r="51" spans="1:8" ht="15.75" customHeight="1">
      <c r="A51" s="185" t="s">
        <v>348</v>
      </c>
      <c r="B51" s="185"/>
      <c r="C51" s="185" t="s">
        <v>349</v>
      </c>
      <c r="D51" s="184">
        <v>61.48</v>
      </c>
      <c r="E51" s="184">
        <v>47.09</v>
      </c>
      <c r="F51" s="184">
        <v>2.1</v>
      </c>
      <c r="G51" s="184">
        <v>3.59</v>
      </c>
      <c r="H51" s="184">
        <v>8.7</v>
      </c>
    </row>
    <row r="52" spans="1:8" ht="15.75" customHeight="1">
      <c r="A52" s="185" t="s">
        <v>287</v>
      </c>
      <c r="B52" s="185"/>
      <c r="C52" s="185" t="s">
        <v>350</v>
      </c>
      <c r="D52" s="184">
        <v>61.48</v>
      </c>
      <c r="E52" s="184">
        <v>47.09</v>
      </c>
      <c r="F52" s="184">
        <v>2.1</v>
      </c>
      <c r="G52" s="184">
        <v>3.59</v>
      </c>
      <c r="H52" s="184">
        <v>8.7</v>
      </c>
    </row>
    <row r="53" spans="1:8" ht="15.75" customHeight="1">
      <c r="A53" s="185" t="s">
        <v>351</v>
      </c>
      <c r="B53" s="185"/>
      <c r="C53" s="185" t="s">
        <v>352</v>
      </c>
      <c r="D53" s="184">
        <v>35.5</v>
      </c>
      <c r="E53" s="184">
        <v>32.11</v>
      </c>
      <c r="F53" s="184">
        <v>0.9</v>
      </c>
      <c r="G53" s="184">
        <v>2.49</v>
      </c>
      <c r="H53" s="184">
        <v>0</v>
      </c>
    </row>
    <row r="54" spans="1:8" ht="15.75" customHeight="1">
      <c r="A54" s="185" t="s">
        <v>287</v>
      </c>
      <c r="B54" s="185"/>
      <c r="C54" s="185" t="s">
        <v>353</v>
      </c>
      <c r="D54" s="184">
        <v>35.5</v>
      </c>
      <c r="E54" s="184">
        <v>32.11</v>
      </c>
      <c r="F54" s="184">
        <v>0.9</v>
      </c>
      <c r="G54" s="184">
        <v>2.49</v>
      </c>
      <c r="H54" s="184">
        <v>0</v>
      </c>
    </row>
    <row r="55" spans="1:8" ht="15.75" customHeight="1">
      <c r="A55" s="185" t="s">
        <v>354</v>
      </c>
      <c r="B55" s="185"/>
      <c r="C55" s="185" t="s">
        <v>355</v>
      </c>
      <c r="D55" s="184">
        <v>247.45</v>
      </c>
      <c r="E55" s="184">
        <v>80.51</v>
      </c>
      <c r="F55" s="184">
        <v>2.75</v>
      </c>
      <c r="G55" s="184">
        <v>6.34</v>
      </c>
      <c r="H55" s="184">
        <v>79.85</v>
      </c>
    </row>
    <row r="56" spans="1:8" ht="15.75" customHeight="1">
      <c r="A56" s="185" t="s">
        <v>287</v>
      </c>
      <c r="B56" s="185"/>
      <c r="C56" s="185" t="s">
        <v>356</v>
      </c>
      <c r="D56" s="184">
        <v>247.45</v>
      </c>
      <c r="E56" s="184">
        <v>80.51</v>
      </c>
      <c r="F56" s="184">
        <v>2.75</v>
      </c>
      <c r="G56" s="184">
        <v>6.34</v>
      </c>
      <c r="H56" s="184">
        <v>79.85</v>
      </c>
    </row>
    <row r="57" spans="1:8" ht="15.75" customHeight="1">
      <c r="A57" s="185" t="s">
        <v>357</v>
      </c>
      <c r="B57" s="185"/>
      <c r="C57" s="185" t="s">
        <v>358</v>
      </c>
      <c r="D57" s="184">
        <v>416.23</v>
      </c>
      <c r="E57" s="184">
        <v>210.13</v>
      </c>
      <c r="F57" s="184">
        <v>21.9</v>
      </c>
      <c r="G57" s="184">
        <v>13.7</v>
      </c>
      <c r="H57" s="184">
        <v>170.5</v>
      </c>
    </row>
    <row r="58" spans="1:8" ht="15.75" customHeight="1">
      <c r="A58" s="185" t="s">
        <v>287</v>
      </c>
      <c r="B58" s="185"/>
      <c r="C58" s="185" t="s">
        <v>359</v>
      </c>
      <c r="D58" s="184">
        <v>416.23</v>
      </c>
      <c r="E58" s="184">
        <v>210.13</v>
      </c>
      <c r="F58" s="184">
        <v>21.9</v>
      </c>
      <c r="G58" s="184">
        <v>13.7</v>
      </c>
      <c r="H58" s="184">
        <v>170.5</v>
      </c>
    </row>
    <row r="59" spans="1:8" ht="15.75" customHeight="1">
      <c r="A59" s="185" t="s">
        <v>360</v>
      </c>
      <c r="B59" s="185"/>
      <c r="C59" s="185" t="s">
        <v>361</v>
      </c>
      <c r="D59" s="184">
        <v>179.61</v>
      </c>
      <c r="E59" s="184">
        <v>80.21</v>
      </c>
      <c r="F59" s="184">
        <v>5.5</v>
      </c>
      <c r="G59" s="184">
        <v>6.9</v>
      </c>
      <c r="H59" s="184">
        <v>87</v>
      </c>
    </row>
    <row r="60" spans="1:8" ht="15.75" customHeight="1">
      <c r="A60" s="185" t="s">
        <v>287</v>
      </c>
      <c r="B60" s="185"/>
      <c r="C60" s="185" t="s">
        <v>362</v>
      </c>
      <c r="D60" s="184">
        <v>179.61</v>
      </c>
      <c r="E60" s="184">
        <v>80.21</v>
      </c>
      <c r="F60" s="184">
        <v>5.5</v>
      </c>
      <c r="G60" s="184">
        <v>6.9</v>
      </c>
      <c r="H60" s="184">
        <v>87</v>
      </c>
    </row>
    <row r="61" spans="1:8" ht="15.75" customHeight="1">
      <c r="A61" s="185" t="s">
        <v>363</v>
      </c>
      <c r="B61" s="185"/>
      <c r="C61" s="185" t="s">
        <v>364</v>
      </c>
      <c r="D61" s="184">
        <v>245.94</v>
      </c>
      <c r="E61" s="184">
        <v>101.47</v>
      </c>
      <c r="F61" s="184">
        <v>6.1</v>
      </c>
      <c r="G61" s="184">
        <v>7.87</v>
      </c>
      <c r="H61" s="184">
        <v>130.5</v>
      </c>
    </row>
    <row r="62" spans="1:8" ht="15.75" customHeight="1">
      <c r="A62" s="185" t="s">
        <v>287</v>
      </c>
      <c r="B62" s="185"/>
      <c r="C62" s="185" t="s">
        <v>365</v>
      </c>
      <c r="D62" s="184">
        <v>245.94</v>
      </c>
      <c r="E62" s="184">
        <v>101.47</v>
      </c>
      <c r="F62" s="184">
        <v>6.1</v>
      </c>
      <c r="G62" s="184">
        <v>7.87</v>
      </c>
      <c r="H62" s="184">
        <v>130.5</v>
      </c>
    </row>
    <row r="63" spans="1:8" ht="15.75" customHeight="1">
      <c r="A63" s="185" t="s">
        <v>366</v>
      </c>
      <c r="B63" s="185"/>
      <c r="C63" s="185" t="s">
        <v>367</v>
      </c>
      <c r="D63" s="184">
        <v>52.17</v>
      </c>
      <c r="E63" s="184">
        <v>37.95</v>
      </c>
      <c r="F63" s="184">
        <v>4.25</v>
      </c>
      <c r="G63" s="184">
        <v>2.97</v>
      </c>
      <c r="H63" s="184">
        <v>7</v>
      </c>
    </row>
    <row r="64" spans="1:8" ht="15.75" customHeight="1">
      <c r="A64" s="185" t="s">
        <v>287</v>
      </c>
      <c r="B64" s="185"/>
      <c r="C64" s="185" t="s">
        <v>368</v>
      </c>
      <c r="D64" s="184">
        <v>52.17</v>
      </c>
      <c r="E64" s="184">
        <v>37.95</v>
      </c>
      <c r="F64" s="184">
        <v>4.25</v>
      </c>
      <c r="G64" s="184">
        <v>2.97</v>
      </c>
      <c r="H64" s="184">
        <v>7</v>
      </c>
    </row>
    <row r="65" spans="1:8" ht="15.75" customHeight="1">
      <c r="A65" s="185" t="s">
        <v>369</v>
      </c>
      <c r="B65" s="185"/>
      <c r="C65" s="185" t="s">
        <v>370</v>
      </c>
      <c r="D65" s="184">
        <v>423.92</v>
      </c>
      <c r="E65" s="184">
        <v>221.82</v>
      </c>
      <c r="F65" s="184">
        <v>16.04</v>
      </c>
      <c r="G65" s="184">
        <v>20.22</v>
      </c>
      <c r="H65" s="184">
        <v>165.84</v>
      </c>
    </row>
    <row r="66" spans="1:8" ht="15.75" customHeight="1">
      <c r="A66" s="185" t="s">
        <v>287</v>
      </c>
      <c r="B66" s="185"/>
      <c r="C66" s="185" t="s">
        <v>371</v>
      </c>
      <c r="D66" s="184">
        <v>417.35</v>
      </c>
      <c r="E66" s="184">
        <v>215.88</v>
      </c>
      <c r="F66" s="184">
        <v>15.89</v>
      </c>
      <c r="G66" s="184">
        <v>19.74</v>
      </c>
      <c r="H66" s="184">
        <v>165.84</v>
      </c>
    </row>
    <row r="67" spans="1:8" ht="15.75" customHeight="1">
      <c r="A67" s="185" t="s">
        <v>302</v>
      </c>
      <c r="B67" s="185"/>
      <c r="C67" s="185" t="s">
        <v>372</v>
      </c>
      <c r="D67" s="184">
        <v>6.57</v>
      </c>
      <c r="E67" s="184">
        <v>5.94</v>
      </c>
      <c r="F67" s="184">
        <v>0.15</v>
      </c>
      <c r="G67" s="184">
        <v>0.48</v>
      </c>
      <c r="H67" s="184">
        <v>0</v>
      </c>
    </row>
    <row r="68" spans="1:8" ht="15.75" customHeight="1">
      <c r="A68" s="185" t="s">
        <v>373</v>
      </c>
      <c r="B68" s="185"/>
      <c r="C68" s="185" t="s">
        <v>374</v>
      </c>
      <c r="D68" s="184">
        <v>1857</v>
      </c>
      <c r="E68" s="184">
        <v>0</v>
      </c>
      <c r="F68" s="184">
        <v>0</v>
      </c>
      <c r="G68" s="184">
        <v>0</v>
      </c>
      <c r="H68" s="184">
        <v>1857</v>
      </c>
    </row>
    <row r="69" spans="1:8" ht="15.75" customHeight="1">
      <c r="A69" s="185" t="s">
        <v>297</v>
      </c>
      <c r="B69" s="185"/>
      <c r="C69" s="185" t="s">
        <v>375</v>
      </c>
      <c r="D69" s="184">
        <v>1857</v>
      </c>
      <c r="E69" s="184">
        <v>0</v>
      </c>
      <c r="F69" s="184">
        <v>0</v>
      </c>
      <c r="G69" s="184">
        <v>0</v>
      </c>
      <c r="H69" s="184">
        <v>1857</v>
      </c>
    </row>
    <row r="70" spans="1:8" ht="15.75" customHeight="1">
      <c r="A70" s="185" t="s">
        <v>376</v>
      </c>
      <c r="B70" s="185"/>
      <c r="C70" s="185" t="s">
        <v>377</v>
      </c>
      <c r="D70" s="184"/>
      <c r="E70" s="184">
        <v>0</v>
      </c>
      <c r="F70" s="184">
        <v>0</v>
      </c>
      <c r="G70" s="184">
        <v>0</v>
      </c>
      <c r="H70" s="184">
        <v>0</v>
      </c>
    </row>
    <row r="71" spans="1:8" ht="15.75" customHeight="1">
      <c r="A71" s="185" t="s">
        <v>378</v>
      </c>
      <c r="B71" s="185"/>
      <c r="C71" s="185" t="s">
        <v>379</v>
      </c>
      <c r="D71" s="184"/>
      <c r="E71" s="184">
        <v>0</v>
      </c>
      <c r="F71" s="184">
        <v>0</v>
      </c>
      <c r="G71" s="184">
        <v>0</v>
      </c>
      <c r="H71" s="184">
        <v>0</v>
      </c>
    </row>
    <row r="72" spans="1:8" ht="15.75" customHeight="1">
      <c r="A72" s="185" t="s">
        <v>287</v>
      </c>
      <c r="B72" s="185"/>
      <c r="C72" s="185" t="s">
        <v>380</v>
      </c>
      <c r="D72" s="184"/>
      <c r="E72" s="184">
        <v>0</v>
      </c>
      <c r="F72" s="184">
        <v>0</v>
      </c>
      <c r="G72" s="184">
        <v>0</v>
      </c>
      <c r="H72" s="184">
        <v>0</v>
      </c>
    </row>
    <row r="73" spans="1:8" ht="15.75" customHeight="1">
      <c r="A73" s="185" t="s">
        <v>381</v>
      </c>
      <c r="B73" s="185"/>
      <c r="C73" s="185" t="s">
        <v>382</v>
      </c>
      <c r="D73" s="184">
        <v>7193.18</v>
      </c>
      <c r="E73" s="184">
        <v>2221.18</v>
      </c>
      <c r="F73" s="184">
        <v>80.07</v>
      </c>
      <c r="G73" s="184">
        <v>206.48</v>
      </c>
      <c r="H73" s="184">
        <v>4685.45</v>
      </c>
    </row>
    <row r="74" spans="1:8" ht="15.75" customHeight="1">
      <c r="A74" s="185" t="s">
        <v>383</v>
      </c>
      <c r="B74" s="185"/>
      <c r="C74" s="185" t="s">
        <v>384</v>
      </c>
      <c r="D74" s="184">
        <v>381.96</v>
      </c>
      <c r="E74" s="184">
        <v>0</v>
      </c>
      <c r="F74" s="184">
        <v>0</v>
      </c>
      <c r="G74" s="184">
        <v>0</v>
      </c>
      <c r="H74" s="184">
        <v>381.96</v>
      </c>
    </row>
    <row r="75" spans="1:8" ht="15.75" customHeight="1">
      <c r="A75" s="185" t="s">
        <v>287</v>
      </c>
      <c r="B75" s="185"/>
      <c r="C75" s="185" t="s">
        <v>385</v>
      </c>
      <c r="D75" s="184">
        <v>35.76</v>
      </c>
      <c r="E75" s="184">
        <v>0</v>
      </c>
      <c r="F75" s="184">
        <v>0</v>
      </c>
      <c r="G75" s="184">
        <v>0</v>
      </c>
      <c r="H75" s="184">
        <v>35.76</v>
      </c>
    </row>
    <row r="76" spans="1:8" ht="15.75" customHeight="1">
      <c r="A76" s="185" t="s">
        <v>302</v>
      </c>
      <c r="B76" s="185"/>
      <c r="C76" s="185" t="s">
        <v>386</v>
      </c>
      <c r="D76" s="184">
        <v>346.2</v>
      </c>
      <c r="E76" s="184">
        <v>0</v>
      </c>
      <c r="F76" s="184">
        <v>0</v>
      </c>
      <c r="G76" s="184">
        <v>0</v>
      </c>
      <c r="H76" s="184">
        <v>346.2</v>
      </c>
    </row>
    <row r="77" spans="1:8" ht="15.75" customHeight="1">
      <c r="A77" s="185" t="s">
        <v>387</v>
      </c>
      <c r="B77" s="185"/>
      <c r="C77" s="185" t="s">
        <v>388</v>
      </c>
      <c r="D77" s="184">
        <v>3100.84</v>
      </c>
      <c r="E77" s="184">
        <v>1251.6</v>
      </c>
      <c r="F77" s="184">
        <v>58.95</v>
      </c>
      <c r="G77" s="184">
        <v>121.71</v>
      </c>
      <c r="H77" s="184">
        <v>1668.58</v>
      </c>
    </row>
    <row r="78" spans="1:8" ht="15.75" customHeight="1">
      <c r="A78" s="185" t="s">
        <v>287</v>
      </c>
      <c r="B78" s="185"/>
      <c r="C78" s="185" t="s">
        <v>389</v>
      </c>
      <c r="D78" s="184">
        <v>2788.36</v>
      </c>
      <c r="E78" s="184">
        <v>1251.6</v>
      </c>
      <c r="F78" s="184">
        <v>58.95</v>
      </c>
      <c r="G78" s="184">
        <v>121.71</v>
      </c>
      <c r="H78" s="184">
        <v>1356.1</v>
      </c>
    </row>
    <row r="79" spans="1:8" ht="15.75" customHeight="1">
      <c r="A79" s="185" t="s">
        <v>390</v>
      </c>
      <c r="B79" s="185"/>
      <c r="C79" s="185" t="s">
        <v>391</v>
      </c>
      <c r="D79" s="184">
        <v>255</v>
      </c>
      <c r="E79" s="184">
        <v>0</v>
      </c>
      <c r="F79" s="184">
        <v>0</v>
      </c>
      <c r="G79" s="184">
        <v>0</v>
      </c>
      <c r="H79" s="184">
        <v>255</v>
      </c>
    </row>
    <row r="80" spans="1:8" ht="15.75" customHeight="1">
      <c r="A80" s="185" t="s">
        <v>392</v>
      </c>
      <c r="B80" s="185"/>
      <c r="C80" s="185" t="s">
        <v>393</v>
      </c>
      <c r="D80" s="184">
        <v>50.88</v>
      </c>
      <c r="E80" s="184">
        <v>0</v>
      </c>
      <c r="F80" s="184">
        <v>0</v>
      </c>
      <c r="G80" s="184">
        <v>0</v>
      </c>
      <c r="H80" s="184">
        <v>50.88</v>
      </c>
    </row>
    <row r="81" spans="1:8" ht="15.75" customHeight="1">
      <c r="A81" s="185" t="s">
        <v>297</v>
      </c>
      <c r="B81" s="185"/>
      <c r="C81" s="185" t="s">
        <v>394</v>
      </c>
      <c r="D81" s="184">
        <v>6.6</v>
      </c>
      <c r="E81" s="184">
        <v>0</v>
      </c>
      <c r="F81" s="184">
        <v>0</v>
      </c>
      <c r="G81" s="184">
        <v>0</v>
      </c>
      <c r="H81" s="184">
        <v>6.6</v>
      </c>
    </row>
    <row r="82" spans="1:8" ht="15.75" customHeight="1">
      <c r="A82" s="185" t="s">
        <v>395</v>
      </c>
      <c r="B82" s="185"/>
      <c r="C82" s="185" t="s">
        <v>396</v>
      </c>
      <c r="D82" s="184">
        <v>647.46</v>
      </c>
      <c r="E82" s="184">
        <v>337.87</v>
      </c>
      <c r="F82" s="184">
        <v>0.22</v>
      </c>
      <c r="G82" s="184">
        <v>28.26</v>
      </c>
      <c r="H82" s="184">
        <v>281.11</v>
      </c>
    </row>
    <row r="83" spans="1:8" ht="15.75" customHeight="1">
      <c r="A83" s="185" t="s">
        <v>287</v>
      </c>
      <c r="B83" s="185"/>
      <c r="C83" s="185" t="s">
        <v>397</v>
      </c>
      <c r="D83" s="184">
        <v>647.46</v>
      </c>
      <c r="E83" s="184">
        <v>337.87</v>
      </c>
      <c r="F83" s="184">
        <v>0.22</v>
      </c>
      <c r="G83" s="184">
        <v>28.26</v>
      </c>
      <c r="H83" s="184">
        <v>281.11</v>
      </c>
    </row>
    <row r="84" spans="1:8" ht="15.75" customHeight="1">
      <c r="A84" s="185" t="s">
        <v>398</v>
      </c>
      <c r="B84" s="185"/>
      <c r="C84" s="185" t="s">
        <v>399</v>
      </c>
      <c r="D84" s="184">
        <v>905.11</v>
      </c>
      <c r="E84" s="184">
        <v>371.76</v>
      </c>
      <c r="F84" s="184">
        <v>0.15</v>
      </c>
      <c r="G84" s="184">
        <v>33.2</v>
      </c>
      <c r="H84" s="184">
        <v>500</v>
      </c>
    </row>
    <row r="85" spans="1:8" ht="15.75" customHeight="1">
      <c r="A85" s="185" t="s">
        <v>287</v>
      </c>
      <c r="B85" s="185"/>
      <c r="C85" s="185" t="s">
        <v>400</v>
      </c>
      <c r="D85" s="184">
        <v>905.11</v>
      </c>
      <c r="E85" s="184">
        <v>371.76</v>
      </c>
      <c r="F85" s="184">
        <v>0.15</v>
      </c>
      <c r="G85" s="184">
        <v>33.2</v>
      </c>
      <c r="H85" s="184">
        <v>500</v>
      </c>
    </row>
    <row r="86" spans="1:8" ht="15.75" customHeight="1">
      <c r="A86" s="185" t="s">
        <v>401</v>
      </c>
      <c r="B86" s="185"/>
      <c r="C86" s="185" t="s">
        <v>402</v>
      </c>
      <c r="D86" s="184">
        <v>357.81</v>
      </c>
      <c r="E86" s="184">
        <v>259.95</v>
      </c>
      <c r="F86" s="184">
        <v>20.75</v>
      </c>
      <c r="G86" s="184">
        <v>23.31</v>
      </c>
      <c r="H86" s="184">
        <v>53.8</v>
      </c>
    </row>
    <row r="87" spans="1:8" ht="15.75" customHeight="1">
      <c r="A87" s="185" t="s">
        <v>287</v>
      </c>
      <c r="B87" s="185"/>
      <c r="C87" s="185" t="s">
        <v>403</v>
      </c>
      <c r="D87" s="184">
        <v>333.48</v>
      </c>
      <c r="E87" s="184">
        <v>238.02</v>
      </c>
      <c r="F87" s="184">
        <v>20.15</v>
      </c>
      <c r="G87" s="184">
        <v>21.51</v>
      </c>
      <c r="H87" s="184">
        <v>53.8</v>
      </c>
    </row>
    <row r="88" spans="1:8" ht="15.75" customHeight="1">
      <c r="A88" s="185" t="s">
        <v>404</v>
      </c>
      <c r="B88" s="185"/>
      <c r="C88" s="185" t="s">
        <v>405</v>
      </c>
      <c r="D88" s="184">
        <v>24.33</v>
      </c>
      <c r="E88" s="184">
        <v>21.93</v>
      </c>
      <c r="F88" s="184">
        <v>0.6</v>
      </c>
      <c r="G88" s="184">
        <v>1.8</v>
      </c>
      <c r="H88" s="184">
        <v>0</v>
      </c>
    </row>
    <row r="89" spans="1:8" ht="15.75" customHeight="1">
      <c r="A89" s="185" t="s">
        <v>406</v>
      </c>
      <c r="B89" s="185"/>
      <c r="C89" s="185" t="s">
        <v>407</v>
      </c>
      <c r="D89" s="184">
        <v>1800</v>
      </c>
      <c r="E89" s="184">
        <v>0</v>
      </c>
      <c r="F89" s="184">
        <v>0</v>
      </c>
      <c r="G89" s="184">
        <v>0</v>
      </c>
      <c r="H89" s="184">
        <v>1800</v>
      </c>
    </row>
    <row r="90" spans="1:8" ht="15.75" customHeight="1">
      <c r="A90" s="185" t="s">
        <v>287</v>
      </c>
      <c r="B90" s="185"/>
      <c r="C90" s="185" t="s">
        <v>408</v>
      </c>
      <c r="D90" s="184">
        <v>1800</v>
      </c>
      <c r="E90" s="184">
        <v>0</v>
      </c>
      <c r="F90" s="184">
        <v>0</v>
      </c>
      <c r="G90" s="184">
        <v>0</v>
      </c>
      <c r="H90" s="184">
        <v>1800</v>
      </c>
    </row>
    <row r="91" spans="1:8" ht="15.75" customHeight="1">
      <c r="A91" s="185" t="s">
        <v>409</v>
      </c>
      <c r="B91" s="185"/>
      <c r="C91" s="185" t="s">
        <v>410</v>
      </c>
      <c r="D91" s="184">
        <v>21907.42</v>
      </c>
      <c r="E91" s="184">
        <v>11539.97</v>
      </c>
      <c r="F91" s="184">
        <v>922.49</v>
      </c>
      <c r="G91" s="184">
        <v>1012.56</v>
      </c>
      <c r="H91" s="184">
        <v>8432.4</v>
      </c>
    </row>
    <row r="92" spans="1:8" ht="15.75" customHeight="1">
      <c r="A92" s="185" t="s">
        <v>411</v>
      </c>
      <c r="B92" s="185"/>
      <c r="C92" s="185" t="s">
        <v>412</v>
      </c>
      <c r="D92" s="184">
        <v>1600.8</v>
      </c>
      <c r="E92" s="184">
        <v>153.87</v>
      </c>
      <c r="F92" s="184">
        <v>4</v>
      </c>
      <c r="G92" s="184">
        <v>16.03</v>
      </c>
      <c r="H92" s="184">
        <v>1426.9</v>
      </c>
    </row>
    <row r="93" spans="1:8" ht="15.75" customHeight="1">
      <c r="A93" s="185" t="s">
        <v>287</v>
      </c>
      <c r="B93" s="185"/>
      <c r="C93" s="185" t="s">
        <v>413</v>
      </c>
      <c r="D93" s="184">
        <v>1598.62</v>
      </c>
      <c r="E93" s="184">
        <v>153.87</v>
      </c>
      <c r="F93" s="184">
        <v>4</v>
      </c>
      <c r="G93" s="184">
        <v>16.03</v>
      </c>
      <c r="H93" s="184">
        <v>1424.72</v>
      </c>
    </row>
    <row r="94" spans="1:8" ht="15.75" customHeight="1">
      <c r="A94" s="185" t="s">
        <v>297</v>
      </c>
      <c r="B94" s="185"/>
      <c r="C94" s="185" t="s">
        <v>414</v>
      </c>
      <c r="D94" s="184">
        <v>2.18</v>
      </c>
      <c r="E94" s="184">
        <v>0</v>
      </c>
      <c r="F94" s="184">
        <v>0</v>
      </c>
      <c r="G94" s="184">
        <v>0</v>
      </c>
      <c r="H94" s="184">
        <v>2.18</v>
      </c>
    </row>
    <row r="95" spans="1:8" ht="15.75" customHeight="1">
      <c r="A95" s="185" t="s">
        <v>415</v>
      </c>
      <c r="B95" s="185"/>
      <c r="C95" s="185" t="s">
        <v>416</v>
      </c>
      <c r="D95" s="184">
        <v>12262.45</v>
      </c>
      <c r="E95" s="184">
        <v>10453.56</v>
      </c>
      <c r="F95" s="184">
        <v>886.92</v>
      </c>
      <c r="G95" s="184">
        <v>913.97</v>
      </c>
      <c r="H95" s="184">
        <v>8</v>
      </c>
    </row>
    <row r="96" spans="1:8" ht="15.75" customHeight="1">
      <c r="A96" s="185" t="s">
        <v>287</v>
      </c>
      <c r="B96" s="185"/>
      <c r="C96" s="185" t="s">
        <v>417</v>
      </c>
      <c r="D96" s="184">
        <v>389.49</v>
      </c>
      <c r="E96" s="184">
        <v>355.34</v>
      </c>
      <c r="F96" s="184">
        <v>0</v>
      </c>
      <c r="G96" s="184">
        <v>29.15</v>
      </c>
      <c r="H96" s="184">
        <v>5</v>
      </c>
    </row>
    <row r="97" spans="1:8" ht="15.75" customHeight="1">
      <c r="A97" s="185" t="s">
        <v>418</v>
      </c>
      <c r="B97" s="185"/>
      <c r="C97" s="185" t="s">
        <v>419</v>
      </c>
      <c r="D97" s="184">
        <v>6606.65</v>
      </c>
      <c r="E97" s="184">
        <v>5554.98</v>
      </c>
      <c r="F97" s="184">
        <v>549.02</v>
      </c>
      <c r="G97" s="184">
        <v>502.65</v>
      </c>
      <c r="H97" s="184">
        <v>0</v>
      </c>
    </row>
    <row r="98" spans="1:8" ht="15.75" customHeight="1">
      <c r="A98" s="185" t="s">
        <v>302</v>
      </c>
      <c r="B98" s="185"/>
      <c r="C98" s="185" t="s">
        <v>420</v>
      </c>
      <c r="D98" s="184">
        <v>3869.93</v>
      </c>
      <c r="E98" s="184">
        <v>3254.84</v>
      </c>
      <c r="F98" s="184">
        <v>337.9</v>
      </c>
      <c r="G98" s="184">
        <v>274.19</v>
      </c>
      <c r="H98" s="184">
        <v>3</v>
      </c>
    </row>
    <row r="99" spans="1:8" ht="15.75" customHeight="1">
      <c r="A99" s="185" t="s">
        <v>332</v>
      </c>
      <c r="B99" s="185"/>
      <c r="C99" s="185" t="s">
        <v>421</v>
      </c>
      <c r="D99" s="184">
        <v>1396.38</v>
      </c>
      <c r="E99" s="184">
        <v>1288.4</v>
      </c>
      <c r="F99" s="184">
        <v>0</v>
      </c>
      <c r="G99" s="184">
        <v>107.98</v>
      </c>
      <c r="H99" s="184">
        <v>0</v>
      </c>
    </row>
    <row r="100" spans="1:8" ht="15.75" customHeight="1">
      <c r="A100" s="185" t="s">
        <v>422</v>
      </c>
      <c r="B100" s="185"/>
      <c r="C100" s="185" t="s">
        <v>423</v>
      </c>
      <c r="D100" s="184">
        <v>534.04</v>
      </c>
      <c r="E100" s="184">
        <v>486.61</v>
      </c>
      <c r="F100" s="184">
        <v>0</v>
      </c>
      <c r="G100" s="184">
        <v>42.43</v>
      </c>
      <c r="H100" s="184">
        <v>5</v>
      </c>
    </row>
    <row r="101" spans="1:8" ht="15.75" customHeight="1">
      <c r="A101" s="185" t="s">
        <v>332</v>
      </c>
      <c r="B101" s="185"/>
      <c r="C101" s="185" t="s">
        <v>424</v>
      </c>
      <c r="D101" s="184">
        <v>534.04</v>
      </c>
      <c r="E101" s="184">
        <v>486.61</v>
      </c>
      <c r="F101" s="184">
        <v>0</v>
      </c>
      <c r="G101" s="184">
        <v>42.43</v>
      </c>
      <c r="H101" s="184">
        <v>5</v>
      </c>
    </row>
    <row r="102" spans="1:8" ht="15.75" customHeight="1">
      <c r="A102" s="185" t="s">
        <v>425</v>
      </c>
      <c r="B102" s="185"/>
      <c r="C102" s="185" t="s">
        <v>426</v>
      </c>
      <c r="D102" s="184">
        <v>65.59</v>
      </c>
      <c r="E102" s="184">
        <v>51.05</v>
      </c>
      <c r="F102" s="184">
        <v>0</v>
      </c>
      <c r="G102" s="184">
        <v>4.54</v>
      </c>
      <c r="H102" s="184">
        <v>10</v>
      </c>
    </row>
    <row r="103" spans="1:8" ht="15.75" customHeight="1">
      <c r="A103" s="185" t="s">
        <v>332</v>
      </c>
      <c r="B103" s="185"/>
      <c r="C103" s="185" t="s">
        <v>427</v>
      </c>
      <c r="D103" s="184">
        <v>65.59</v>
      </c>
      <c r="E103" s="184">
        <v>51.05</v>
      </c>
      <c r="F103" s="184">
        <v>0</v>
      </c>
      <c r="G103" s="184">
        <v>4.54</v>
      </c>
      <c r="H103" s="184">
        <v>10</v>
      </c>
    </row>
    <row r="104" spans="1:8" ht="15.75" customHeight="1">
      <c r="A104" s="185" t="s">
        <v>428</v>
      </c>
      <c r="B104" s="185"/>
      <c r="C104" s="185" t="s">
        <v>429</v>
      </c>
      <c r="D104" s="184">
        <v>111.11</v>
      </c>
      <c r="E104" s="184">
        <v>80.62</v>
      </c>
      <c r="F104" s="184">
        <v>23.97</v>
      </c>
      <c r="G104" s="184">
        <v>6.52</v>
      </c>
      <c r="H104" s="184">
        <v>0</v>
      </c>
    </row>
    <row r="105" spans="1:8" ht="15.75" customHeight="1">
      <c r="A105" s="185" t="s">
        <v>287</v>
      </c>
      <c r="B105" s="185"/>
      <c r="C105" s="185" t="s">
        <v>430</v>
      </c>
      <c r="D105" s="184">
        <v>111.11</v>
      </c>
      <c r="E105" s="184">
        <v>80.62</v>
      </c>
      <c r="F105" s="184">
        <v>23.97</v>
      </c>
      <c r="G105" s="184">
        <v>6.52</v>
      </c>
      <c r="H105" s="184">
        <v>0</v>
      </c>
    </row>
    <row r="106" spans="1:8" ht="15.75" customHeight="1">
      <c r="A106" s="185" t="s">
        <v>431</v>
      </c>
      <c r="B106" s="185"/>
      <c r="C106" s="185" t="s">
        <v>432</v>
      </c>
      <c r="D106" s="184">
        <v>383.43</v>
      </c>
      <c r="E106" s="184">
        <v>314.26</v>
      </c>
      <c r="F106" s="184">
        <v>7.6</v>
      </c>
      <c r="G106" s="184">
        <v>29.07</v>
      </c>
      <c r="H106" s="184">
        <v>32.5</v>
      </c>
    </row>
    <row r="107" spans="1:8" ht="15.75" customHeight="1">
      <c r="A107" s="185" t="s">
        <v>287</v>
      </c>
      <c r="B107" s="185"/>
      <c r="C107" s="185" t="s">
        <v>433</v>
      </c>
      <c r="D107" s="184">
        <v>258.15</v>
      </c>
      <c r="E107" s="184">
        <v>232.82</v>
      </c>
      <c r="F107" s="184">
        <v>4.95</v>
      </c>
      <c r="G107" s="184">
        <v>20.38</v>
      </c>
      <c r="H107" s="184">
        <v>0</v>
      </c>
    </row>
    <row r="108" spans="1:8" ht="15.75" customHeight="1">
      <c r="A108" s="185" t="s">
        <v>418</v>
      </c>
      <c r="B108" s="185"/>
      <c r="C108" s="185" t="s">
        <v>434</v>
      </c>
      <c r="D108" s="184">
        <v>99.98</v>
      </c>
      <c r="E108" s="184">
        <v>81.44</v>
      </c>
      <c r="F108" s="184">
        <v>2.35</v>
      </c>
      <c r="G108" s="184">
        <v>8.69</v>
      </c>
      <c r="H108" s="184">
        <v>7.5</v>
      </c>
    </row>
    <row r="109" spans="1:8" ht="15.75" customHeight="1">
      <c r="A109" s="185" t="s">
        <v>297</v>
      </c>
      <c r="B109" s="185"/>
      <c r="C109" s="185" t="s">
        <v>435</v>
      </c>
      <c r="D109" s="184">
        <v>25.3</v>
      </c>
      <c r="E109" s="184">
        <v>0</v>
      </c>
      <c r="F109" s="184">
        <v>0.3</v>
      </c>
      <c r="G109" s="184">
        <v>0</v>
      </c>
      <c r="H109" s="184">
        <v>25</v>
      </c>
    </row>
    <row r="110" spans="1:8" ht="15.75" customHeight="1">
      <c r="A110" s="185" t="s">
        <v>436</v>
      </c>
      <c r="B110" s="185"/>
      <c r="C110" s="185" t="s">
        <v>437</v>
      </c>
      <c r="D110" s="184">
        <v>6950</v>
      </c>
      <c r="E110" s="184">
        <v>0</v>
      </c>
      <c r="F110" s="184">
        <v>0</v>
      </c>
      <c r="G110" s="184">
        <v>0</v>
      </c>
      <c r="H110" s="184">
        <v>6950</v>
      </c>
    </row>
    <row r="111" spans="1:8" ht="15.75" customHeight="1">
      <c r="A111" s="185" t="s">
        <v>297</v>
      </c>
      <c r="B111" s="185"/>
      <c r="C111" s="185" t="s">
        <v>438</v>
      </c>
      <c r="D111" s="184">
        <v>6950</v>
      </c>
      <c r="E111" s="184">
        <v>0</v>
      </c>
      <c r="F111" s="184">
        <v>0</v>
      </c>
      <c r="G111" s="184">
        <v>0</v>
      </c>
      <c r="H111" s="184">
        <v>6950</v>
      </c>
    </row>
    <row r="112" spans="1:8" ht="15.75" customHeight="1">
      <c r="A112" s="185" t="s">
        <v>439</v>
      </c>
      <c r="B112" s="185"/>
      <c r="C112" s="185" t="s">
        <v>440</v>
      </c>
      <c r="D112" s="184">
        <v>1388.97</v>
      </c>
      <c r="E112" s="184">
        <v>58.99</v>
      </c>
      <c r="F112" s="184">
        <v>1.95</v>
      </c>
      <c r="G112" s="184">
        <v>4.97</v>
      </c>
      <c r="H112" s="184">
        <v>1323.06</v>
      </c>
    </row>
    <row r="113" spans="1:8" ht="15.75" customHeight="1">
      <c r="A113" s="185" t="s">
        <v>441</v>
      </c>
      <c r="B113" s="185"/>
      <c r="C113" s="185" t="s">
        <v>442</v>
      </c>
      <c r="D113" s="184">
        <v>537.84</v>
      </c>
      <c r="E113" s="184">
        <v>42.36</v>
      </c>
      <c r="F113" s="184">
        <v>1.4</v>
      </c>
      <c r="G113" s="184">
        <v>3.53</v>
      </c>
      <c r="H113" s="184">
        <v>490.55</v>
      </c>
    </row>
    <row r="114" spans="1:8" ht="15.75" customHeight="1">
      <c r="A114" s="185" t="s">
        <v>287</v>
      </c>
      <c r="B114" s="185"/>
      <c r="C114" s="185" t="s">
        <v>443</v>
      </c>
      <c r="D114" s="184">
        <v>537.84</v>
      </c>
      <c r="E114" s="184">
        <v>42.36</v>
      </c>
      <c r="F114" s="184">
        <v>1.4</v>
      </c>
      <c r="G114" s="184">
        <v>3.53</v>
      </c>
      <c r="H114" s="184">
        <v>490.55</v>
      </c>
    </row>
    <row r="115" spans="1:8" ht="15.75" customHeight="1">
      <c r="A115" s="185" t="s">
        <v>444</v>
      </c>
      <c r="B115" s="185"/>
      <c r="C115" s="185" t="s">
        <v>445</v>
      </c>
      <c r="D115" s="184">
        <v>41.13</v>
      </c>
      <c r="E115" s="184">
        <v>16.63</v>
      </c>
      <c r="F115" s="184">
        <v>0.55</v>
      </c>
      <c r="G115" s="184">
        <v>1.44</v>
      </c>
      <c r="H115" s="184">
        <v>22.51</v>
      </c>
    </row>
    <row r="116" spans="1:8" ht="15.75" customHeight="1">
      <c r="A116" s="185" t="s">
        <v>287</v>
      </c>
      <c r="B116" s="185"/>
      <c r="C116" s="185" t="s">
        <v>446</v>
      </c>
      <c r="D116" s="184">
        <v>41.13</v>
      </c>
      <c r="E116" s="184">
        <v>16.63</v>
      </c>
      <c r="F116" s="184">
        <v>0.55</v>
      </c>
      <c r="G116" s="184">
        <v>1.44</v>
      </c>
      <c r="H116" s="184">
        <v>22.51</v>
      </c>
    </row>
    <row r="117" spans="1:8" ht="15.75" customHeight="1">
      <c r="A117" s="185" t="s">
        <v>447</v>
      </c>
      <c r="B117" s="185"/>
      <c r="C117" s="185" t="s">
        <v>448</v>
      </c>
      <c r="D117" s="184">
        <v>810</v>
      </c>
      <c r="E117" s="184">
        <v>0</v>
      </c>
      <c r="F117" s="184">
        <v>0</v>
      </c>
      <c r="G117" s="184">
        <v>0</v>
      </c>
      <c r="H117" s="184">
        <v>810</v>
      </c>
    </row>
    <row r="118" spans="1:8" ht="15.75" customHeight="1">
      <c r="A118" s="185" t="s">
        <v>297</v>
      </c>
      <c r="B118" s="185"/>
      <c r="C118" s="185" t="s">
        <v>449</v>
      </c>
      <c r="D118" s="184">
        <v>810</v>
      </c>
      <c r="E118" s="184">
        <v>0</v>
      </c>
      <c r="F118" s="184">
        <v>0</v>
      </c>
      <c r="G118" s="184">
        <v>0</v>
      </c>
      <c r="H118" s="184">
        <v>810</v>
      </c>
    </row>
    <row r="119" spans="1:8" ht="15.75" customHeight="1">
      <c r="A119" s="185" t="s">
        <v>450</v>
      </c>
      <c r="B119" s="185"/>
      <c r="C119" s="185" t="s">
        <v>451</v>
      </c>
      <c r="D119" s="184">
        <v>970.81</v>
      </c>
      <c r="E119" s="184">
        <v>346.93</v>
      </c>
      <c r="F119" s="184">
        <v>9.15</v>
      </c>
      <c r="G119" s="184">
        <v>33.95</v>
      </c>
      <c r="H119" s="184">
        <v>580.78</v>
      </c>
    </row>
    <row r="120" spans="1:8" ht="15.75" customHeight="1">
      <c r="A120" s="185" t="s">
        <v>452</v>
      </c>
      <c r="B120" s="185"/>
      <c r="C120" s="185" t="s">
        <v>453</v>
      </c>
      <c r="D120" s="184">
        <v>301.32</v>
      </c>
      <c r="E120" s="184">
        <v>192.39</v>
      </c>
      <c r="F120" s="184">
        <v>4.35</v>
      </c>
      <c r="G120" s="184">
        <v>21.46</v>
      </c>
      <c r="H120" s="184">
        <v>83.12</v>
      </c>
    </row>
    <row r="121" spans="1:8" ht="15.75" customHeight="1">
      <c r="A121" s="185" t="s">
        <v>287</v>
      </c>
      <c r="B121" s="185"/>
      <c r="C121" s="185" t="s">
        <v>454</v>
      </c>
      <c r="D121" s="184">
        <v>229.33</v>
      </c>
      <c r="E121" s="184">
        <v>133.48</v>
      </c>
      <c r="F121" s="184">
        <v>3.15</v>
      </c>
      <c r="G121" s="184">
        <v>17.58</v>
      </c>
      <c r="H121" s="184">
        <v>75.12</v>
      </c>
    </row>
    <row r="122" spans="1:8" ht="15.75" customHeight="1">
      <c r="A122" s="185" t="s">
        <v>332</v>
      </c>
      <c r="B122" s="185"/>
      <c r="C122" s="185" t="s">
        <v>455</v>
      </c>
      <c r="D122" s="184">
        <v>27.99</v>
      </c>
      <c r="E122" s="184">
        <v>18.05</v>
      </c>
      <c r="F122" s="184">
        <v>0.45</v>
      </c>
      <c r="G122" s="184">
        <v>1.49</v>
      </c>
      <c r="H122" s="184">
        <v>8</v>
      </c>
    </row>
    <row r="123" spans="1:8" ht="15.75" customHeight="1">
      <c r="A123" s="185" t="s">
        <v>456</v>
      </c>
      <c r="B123" s="185"/>
      <c r="C123" s="185" t="s">
        <v>457</v>
      </c>
      <c r="D123" s="184">
        <v>32.28</v>
      </c>
      <c r="E123" s="184">
        <v>29.14</v>
      </c>
      <c r="F123" s="184">
        <v>0.75</v>
      </c>
      <c r="G123" s="184">
        <v>2.39</v>
      </c>
      <c r="H123" s="184">
        <v>0</v>
      </c>
    </row>
    <row r="124" spans="1:8" ht="15.75" customHeight="1">
      <c r="A124" s="185" t="s">
        <v>297</v>
      </c>
      <c r="B124" s="185"/>
      <c r="C124" s="185" t="s">
        <v>458</v>
      </c>
      <c r="D124" s="184">
        <v>11.72</v>
      </c>
      <c r="E124" s="184">
        <v>11.72</v>
      </c>
      <c r="F124" s="184">
        <v>0</v>
      </c>
      <c r="G124" s="184">
        <v>0</v>
      </c>
      <c r="H124" s="184">
        <v>0</v>
      </c>
    </row>
    <row r="125" spans="1:8" ht="15.75" customHeight="1">
      <c r="A125" s="185" t="s">
        <v>459</v>
      </c>
      <c r="B125" s="185"/>
      <c r="C125" s="185" t="s">
        <v>460</v>
      </c>
      <c r="D125" s="184">
        <v>65.33</v>
      </c>
      <c r="E125" s="184">
        <v>31.88</v>
      </c>
      <c r="F125" s="184">
        <v>0.9</v>
      </c>
      <c r="G125" s="184">
        <v>2.55</v>
      </c>
      <c r="H125" s="184">
        <v>30</v>
      </c>
    </row>
    <row r="126" spans="1:8" ht="15.75" customHeight="1">
      <c r="A126" s="185" t="s">
        <v>332</v>
      </c>
      <c r="B126" s="185"/>
      <c r="C126" s="185" t="s">
        <v>461</v>
      </c>
      <c r="D126" s="184">
        <v>5</v>
      </c>
      <c r="E126" s="184">
        <v>0</v>
      </c>
      <c r="F126" s="184">
        <v>0</v>
      </c>
      <c r="G126" s="184">
        <v>0</v>
      </c>
      <c r="H126" s="184">
        <v>5</v>
      </c>
    </row>
    <row r="127" spans="1:8" ht="15.75" customHeight="1">
      <c r="A127" s="185" t="s">
        <v>346</v>
      </c>
      <c r="B127" s="185"/>
      <c r="C127" s="185" t="s">
        <v>462</v>
      </c>
      <c r="D127" s="184">
        <v>60.33</v>
      </c>
      <c r="E127" s="184">
        <v>31.88</v>
      </c>
      <c r="F127" s="184">
        <v>0.9</v>
      </c>
      <c r="G127" s="184">
        <v>2.55</v>
      </c>
      <c r="H127" s="184">
        <v>25</v>
      </c>
    </row>
    <row r="128" spans="1:8" ht="15.75" customHeight="1">
      <c r="A128" s="185" t="s">
        <v>463</v>
      </c>
      <c r="B128" s="185"/>
      <c r="C128" s="185" t="s">
        <v>464</v>
      </c>
      <c r="D128" s="184">
        <v>37.93</v>
      </c>
      <c r="E128" s="184">
        <v>23.72</v>
      </c>
      <c r="F128" s="184">
        <v>0.6</v>
      </c>
      <c r="G128" s="184">
        <v>1.95</v>
      </c>
      <c r="H128" s="184">
        <v>11.66</v>
      </c>
    </row>
    <row r="129" spans="1:8" ht="15.75" customHeight="1">
      <c r="A129" s="185" t="s">
        <v>287</v>
      </c>
      <c r="B129" s="185"/>
      <c r="C129" s="185" t="s">
        <v>465</v>
      </c>
      <c r="D129" s="184">
        <v>25.56</v>
      </c>
      <c r="E129" s="184">
        <v>17.97</v>
      </c>
      <c r="F129" s="184">
        <v>0.45</v>
      </c>
      <c r="G129" s="184">
        <v>1.48</v>
      </c>
      <c r="H129" s="184">
        <v>5.66</v>
      </c>
    </row>
    <row r="130" spans="1:8" ht="15.75" customHeight="1">
      <c r="A130" s="185" t="s">
        <v>295</v>
      </c>
      <c r="B130" s="185"/>
      <c r="C130" s="185" t="s">
        <v>466</v>
      </c>
      <c r="D130" s="184">
        <v>12.37</v>
      </c>
      <c r="E130" s="184">
        <v>5.75</v>
      </c>
      <c r="F130" s="184">
        <v>0.15</v>
      </c>
      <c r="G130" s="184">
        <v>0.47</v>
      </c>
      <c r="H130" s="184">
        <v>6</v>
      </c>
    </row>
    <row r="131" spans="1:8" ht="15.75" customHeight="1">
      <c r="A131" s="185" t="s">
        <v>467</v>
      </c>
      <c r="B131" s="185"/>
      <c r="C131" s="185" t="s">
        <v>468</v>
      </c>
      <c r="D131" s="184">
        <v>116.23</v>
      </c>
      <c r="E131" s="184">
        <v>98.94</v>
      </c>
      <c r="F131" s="184">
        <v>3.3</v>
      </c>
      <c r="G131" s="184">
        <v>7.99</v>
      </c>
      <c r="H131" s="184">
        <v>6</v>
      </c>
    </row>
    <row r="132" spans="1:8" ht="15.75" customHeight="1">
      <c r="A132" s="185" t="s">
        <v>287</v>
      </c>
      <c r="B132" s="185"/>
      <c r="C132" s="185" t="s">
        <v>469</v>
      </c>
      <c r="D132" s="184">
        <v>116.23</v>
      </c>
      <c r="E132" s="184">
        <v>98.94</v>
      </c>
      <c r="F132" s="184">
        <v>3.3</v>
      </c>
      <c r="G132" s="184">
        <v>7.99</v>
      </c>
      <c r="H132" s="184">
        <v>6</v>
      </c>
    </row>
    <row r="133" spans="1:8" ht="15.75" customHeight="1">
      <c r="A133" s="185" t="s">
        <v>470</v>
      </c>
      <c r="B133" s="185"/>
      <c r="C133" s="185" t="s">
        <v>471</v>
      </c>
      <c r="D133" s="184">
        <v>450</v>
      </c>
      <c r="E133" s="184">
        <v>0</v>
      </c>
      <c r="F133" s="184">
        <v>0</v>
      </c>
      <c r="G133" s="184">
        <v>0</v>
      </c>
      <c r="H133" s="184">
        <v>450</v>
      </c>
    </row>
    <row r="134" spans="1:8" ht="15.75" customHeight="1">
      <c r="A134" s="185" t="s">
        <v>297</v>
      </c>
      <c r="B134" s="185"/>
      <c r="C134" s="185" t="s">
        <v>472</v>
      </c>
      <c r="D134" s="184">
        <v>450</v>
      </c>
      <c r="E134" s="184">
        <v>0</v>
      </c>
      <c r="F134" s="184">
        <v>0</v>
      </c>
      <c r="G134" s="184">
        <v>0</v>
      </c>
      <c r="H134" s="184">
        <v>450</v>
      </c>
    </row>
    <row r="135" spans="1:8" ht="15.75" customHeight="1">
      <c r="A135" s="185" t="s">
        <v>473</v>
      </c>
      <c r="B135" s="185"/>
      <c r="C135" s="185" t="s">
        <v>474</v>
      </c>
      <c r="D135" s="184">
        <v>9290.62</v>
      </c>
      <c r="E135" s="184">
        <v>1677.54</v>
      </c>
      <c r="F135" s="184">
        <v>29.3</v>
      </c>
      <c r="G135" s="184">
        <v>4936.13</v>
      </c>
      <c r="H135" s="184">
        <v>2647.65</v>
      </c>
    </row>
    <row r="136" spans="1:8" ht="15.75" customHeight="1">
      <c r="A136" s="185" t="s">
        <v>475</v>
      </c>
      <c r="B136" s="185"/>
      <c r="C136" s="185" t="s">
        <v>476</v>
      </c>
      <c r="D136" s="184">
        <v>366.59</v>
      </c>
      <c r="E136" s="184">
        <v>266.09</v>
      </c>
      <c r="F136" s="184">
        <v>23.85</v>
      </c>
      <c r="G136" s="184">
        <v>26.44</v>
      </c>
      <c r="H136" s="184">
        <v>50.21</v>
      </c>
    </row>
    <row r="137" spans="1:8" ht="15.75" customHeight="1">
      <c r="A137" s="185" t="s">
        <v>287</v>
      </c>
      <c r="B137" s="185"/>
      <c r="C137" s="185" t="s">
        <v>477</v>
      </c>
      <c r="D137" s="184">
        <v>179.5</v>
      </c>
      <c r="E137" s="184">
        <v>144.99</v>
      </c>
      <c r="F137" s="184">
        <v>1.6</v>
      </c>
      <c r="G137" s="184">
        <v>18.91</v>
      </c>
      <c r="H137" s="184">
        <v>14</v>
      </c>
    </row>
    <row r="138" spans="1:8" ht="15.75" customHeight="1">
      <c r="A138" s="185" t="s">
        <v>346</v>
      </c>
      <c r="B138" s="185"/>
      <c r="C138" s="185" t="s">
        <v>478</v>
      </c>
      <c r="D138" s="184">
        <v>20.74</v>
      </c>
      <c r="E138" s="184">
        <v>17.34</v>
      </c>
      <c r="F138" s="184">
        <v>0.6</v>
      </c>
      <c r="G138" s="184">
        <v>1.3</v>
      </c>
      <c r="H138" s="184">
        <v>1.5</v>
      </c>
    </row>
    <row r="139" spans="1:8" ht="15.75" customHeight="1">
      <c r="A139" s="185" t="s">
        <v>456</v>
      </c>
      <c r="B139" s="185"/>
      <c r="C139" s="185" t="s">
        <v>479</v>
      </c>
      <c r="D139" s="184">
        <v>141.94</v>
      </c>
      <c r="E139" s="184">
        <v>79.35</v>
      </c>
      <c r="F139" s="184">
        <v>21.65</v>
      </c>
      <c r="G139" s="184">
        <v>6.23</v>
      </c>
      <c r="H139" s="184">
        <v>34.71</v>
      </c>
    </row>
    <row r="140" spans="1:8" ht="15.75" customHeight="1">
      <c r="A140" s="185" t="s">
        <v>297</v>
      </c>
      <c r="B140" s="185"/>
      <c r="C140" s="185" t="s">
        <v>480</v>
      </c>
      <c r="D140" s="184">
        <v>24.41</v>
      </c>
      <c r="E140" s="184">
        <v>24.41</v>
      </c>
      <c r="F140" s="184">
        <v>0</v>
      </c>
      <c r="G140" s="184">
        <v>0</v>
      </c>
      <c r="H140" s="184">
        <v>0</v>
      </c>
    </row>
    <row r="141" spans="1:8" ht="15.75" customHeight="1">
      <c r="A141" s="185" t="s">
        <v>481</v>
      </c>
      <c r="B141" s="185"/>
      <c r="C141" s="185" t="s">
        <v>482</v>
      </c>
      <c r="D141" s="184">
        <v>521.21</v>
      </c>
      <c r="E141" s="184">
        <v>90.29</v>
      </c>
      <c r="F141" s="184">
        <v>2.9</v>
      </c>
      <c r="G141" s="184">
        <v>18.81</v>
      </c>
      <c r="H141" s="184">
        <v>409.21</v>
      </c>
    </row>
    <row r="142" spans="1:8" ht="15.75" customHeight="1">
      <c r="A142" s="185" t="s">
        <v>287</v>
      </c>
      <c r="B142" s="185"/>
      <c r="C142" s="185" t="s">
        <v>483</v>
      </c>
      <c r="D142" s="184">
        <v>119.31</v>
      </c>
      <c r="E142" s="184">
        <v>68.62</v>
      </c>
      <c r="F142" s="184">
        <v>2.3</v>
      </c>
      <c r="G142" s="184">
        <v>17.06</v>
      </c>
      <c r="H142" s="184">
        <v>31.33</v>
      </c>
    </row>
    <row r="143" spans="1:8" ht="15.75" customHeight="1">
      <c r="A143" s="185" t="s">
        <v>332</v>
      </c>
      <c r="B143" s="185"/>
      <c r="C143" s="185" t="s">
        <v>484</v>
      </c>
      <c r="D143" s="184">
        <v>28.4</v>
      </c>
      <c r="E143" s="184">
        <v>0</v>
      </c>
      <c r="F143" s="184">
        <v>0</v>
      </c>
      <c r="G143" s="184">
        <v>0</v>
      </c>
      <c r="H143" s="184">
        <v>28.4</v>
      </c>
    </row>
    <row r="144" spans="1:8" ht="15.75" customHeight="1">
      <c r="A144" s="185" t="s">
        <v>346</v>
      </c>
      <c r="B144" s="185"/>
      <c r="C144" s="185" t="s">
        <v>485</v>
      </c>
      <c r="D144" s="184">
        <v>115</v>
      </c>
      <c r="E144" s="184">
        <v>0</v>
      </c>
      <c r="F144" s="184">
        <v>0</v>
      </c>
      <c r="G144" s="184">
        <v>0</v>
      </c>
      <c r="H144" s="184">
        <v>115</v>
      </c>
    </row>
    <row r="145" spans="1:8" ht="15.75" customHeight="1">
      <c r="A145" s="185" t="s">
        <v>486</v>
      </c>
      <c r="B145" s="185"/>
      <c r="C145" s="185" t="s">
        <v>487</v>
      </c>
      <c r="D145" s="184">
        <v>100</v>
      </c>
      <c r="E145" s="184">
        <v>0</v>
      </c>
      <c r="F145" s="184">
        <v>0</v>
      </c>
      <c r="G145" s="184">
        <v>0</v>
      </c>
      <c r="H145" s="184">
        <v>100</v>
      </c>
    </row>
    <row r="146" spans="1:8" ht="15.75" customHeight="1">
      <c r="A146" s="185" t="s">
        <v>295</v>
      </c>
      <c r="B146" s="185"/>
      <c r="C146" s="185" t="s">
        <v>488</v>
      </c>
      <c r="D146" s="184">
        <v>134.48</v>
      </c>
      <c r="E146" s="184">
        <v>0</v>
      </c>
      <c r="F146" s="184">
        <v>0</v>
      </c>
      <c r="G146" s="184">
        <v>0</v>
      </c>
      <c r="H146" s="184">
        <v>134.48</v>
      </c>
    </row>
    <row r="147" spans="1:8" ht="15.75" customHeight="1">
      <c r="A147" s="185" t="s">
        <v>297</v>
      </c>
      <c r="B147" s="185"/>
      <c r="C147" s="185" t="s">
        <v>489</v>
      </c>
      <c r="D147" s="184">
        <v>24.02</v>
      </c>
      <c r="E147" s="184">
        <v>21.67</v>
      </c>
      <c r="F147" s="184">
        <v>0.6</v>
      </c>
      <c r="G147" s="184">
        <v>1.75</v>
      </c>
      <c r="H147" s="184">
        <v>0</v>
      </c>
    </row>
    <row r="148" spans="1:8" ht="15.75" customHeight="1">
      <c r="A148" s="185" t="s">
        <v>490</v>
      </c>
      <c r="B148" s="185"/>
      <c r="C148" s="185" t="s">
        <v>491</v>
      </c>
      <c r="D148" s="184">
        <v>183.71</v>
      </c>
      <c r="E148" s="184">
        <v>0</v>
      </c>
      <c r="F148" s="184">
        <v>0</v>
      </c>
      <c r="G148" s="184">
        <v>0</v>
      </c>
      <c r="H148" s="184">
        <v>183.71</v>
      </c>
    </row>
    <row r="149" spans="1:8" ht="15.75" customHeight="1">
      <c r="A149" s="185" t="s">
        <v>295</v>
      </c>
      <c r="B149" s="185"/>
      <c r="C149" s="185" t="s">
        <v>492</v>
      </c>
      <c r="D149" s="184">
        <v>183.71</v>
      </c>
      <c r="E149" s="184">
        <v>0</v>
      </c>
      <c r="F149" s="184">
        <v>0</v>
      </c>
      <c r="G149" s="184">
        <v>0</v>
      </c>
      <c r="H149" s="184">
        <v>183.71</v>
      </c>
    </row>
    <row r="150" spans="1:8" ht="15.75" customHeight="1">
      <c r="A150" s="185" t="s">
        <v>493</v>
      </c>
      <c r="B150" s="185"/>
      <c r="C150" s="185" t="s">
        <v>494</v>
      </c>
      <c r="D150" s="184">
        <v>6136.87</v>
      </c>
      <c r="E150" s="184">
        <v>1251.37</v>
      </c>
      <c r="F150" s="184">
        <v>0</v>
      </c>
      <c r="G150" s="184">
        <v>4885.5</v>
      </c>
      <c r="H150" s="184">
        <v>0</v>
      </c>
    </row>
    <row r="151" spans="1:8" ht="15.75" customHeight="1">
      <c r="A151" s="185" t="s">
        <v>287</v>
      </c>
      <c r="B151" s="185"/>
      <c r="C151" s="185" t="s">
        <v>495</v>
      </c>
      <c r="D151" s="184">
        <v>2970.69</v>
      </c>
      <c r="E151" s="184">
        <v>579.26</v>
      </c>
      <c r="F151" s="184">
        <v>0</v>
      </c>
      <c r="G151" s="184">
        <v>2391.43</v>
      </c>
      <c r="H151" s="184">
        <v>0</v>
      </c>
    </row>
    <row r="152" spans="1:8" ht="15.75" customHeight="1">
      <c r="A152" s="185" t="s">
        <v>418</v>
      </c>
      <c r="B152" s="185"/>
      <c r="C152" s="185" t="s">
        <v>496</v>
      </c>
      <c r="D152" s="184">
        <v>3166.18</v>
      </c>
      <c r="E152" s="184">
        <v>672.11</v>
      </c>
      <c r="F152" s="184">
        <v>0</v>
      </c>
      <c r="G152" s="184">
        <v>2494.07</v>
      </c>
      <c r="H152" s="184">
        <v>0</v>
      </c>
    </row>
    <row r="153" spans="1:8" ht="15.75" customHeight="1">
      <c r="A153" s="185" t="s">
        <v>497</v>
      </c>
      <c r="B153" s="185"/>
      <c r="C153" s="185" t="s">
        <v>498</v>
      </c>
      <c r="D153" s="184">
        <v>82.69</v>
      </c>
      <c r="E153" s="184">
        <v>0</v>
      </c>
      <c r="F153" s="184">
        <v>0</v>
      </c>
      <c r="G153" s="184">
        <v>0</v>
      </c>
      <c r="H153" s="184">
        <v>82.69</v>
      </c>
    </row>
    <row r="154" spans="1:8" ht="15.75" customHeight="1">
      <c r="A154" s="185" t="s">
        <v>287</v>
      </c>
      <c r="B154" s="185"/>
      <c r="C154" s="185" t="s">
        <v>499</v>
      </c>
      <c r="D154" s="184">
        <v>82.69</v>
      </c>
      <c r="E154" s="184">
        <v>0</v>
      </c>
      <c r="F154" s="184">
        <v>0</v>
      </c>
      <c r="G154" s="184">
        <v>0</v>
      </c>
      <c r="H154" s="184">
        <v>82.69</v>
      </c>
    </row>
    <row r="155" spans="1:8" ht="15.75" customHeight="1">
      <c r="A155" s="185" t="s">
        <v>500</v>
      </c>
      <c r="B155" s="185"/>
      <c r="C155" s="185" t="s">
        <v>501</v>
      </c>
      <c r="D155" s="184">
        <v>220</v>
      </c>
      <c r="E155" s="184">
        <v>0</v>
      </c>
      <c r="F155" s="184">
        <v>0</v>
      </c>
      <c r="G155" s="184">
        <v>0</v>
      </c>
      <c r="H155" s="184">
        <v>220</v>
      </c>
    </row>
    <row r="156" spans="1:8" ht="15.75" customHeight="1">
      <c r="A156" s="185" t="s">
        <v>404</v>
      </c>
      <c r="B156" s="185"/>
      <c r="C156" s="185" t="s">
        <v>502</v>
      </c>
      <c r="D156" s="184">
        <v>170</v>
      </c>
      <c r="E156" s="184">
        <v>0</v>
      </c>
      <c r="F156" s="184">
        <v>0</v>
      </c>
      <c r="G156" s="184">
        <v>0</v>
      </c>
      <c r="H156" s="184">
        <v>170</v>
      </c>
    </row>
    <row r="157" spans="1:8" ht="15.75" customHeight="1">
      <c r="A157" s="185" t="s">
        <v>297</v>
      </c>
      <c r="B157" s="185"/>
      <c r="C157" s="185" t="s">
        <v>503</v>
      </c>
      <c r="D157" s="184">
        <v>50</v>
      </c>
      <c r="E157" s="184">
        <v>0</v>
      </c>
      <c r="F157" s="184">
        <v>0</v>
      </c>
      <c r="G157" s="184">
        <v>0</v>
      </c>
      <c r="H157" s="184">
        <v>50</v>
      </c>
    </row>
    <row r="158" spans="1:8" ht="15.75" customHeight="1">
      <c r="A158" s="185" t="s">
        <v>504</v>
      </c>
      <c r="B158" s="185"/>
      <c r="C158" s="185" t="s">
        <v>505</v>
      </c>
      <c r="D158" s="184">
        <v>172.8</v>
      </c>
      <c r="E158" s="184">
        <v>0</v>
      </c>
      <c r="F158" s="184">
        <v>0</v>
      </c>
      <c r="G158" s="184">
        <v>0</v>
      </c>
      <c r="H158" s="184">
        <v>172.8</v>
      </c>
    </row>
    <row r="159" spans="1:8" ht="15.75" customHeight="1">
      <c r="A159" s="185" t="s">
        <v>346</v>
      </c>
      <c r="B159" s="185"/>
      <c r="C159" s="185" t="s">
        <v>506</v>
      </c>
      <c r="D159" s="184">
        <v>140</v>
      </c>
      <c r="E159" s="184">
        <v>0</v>
      </c>
      <c r="F159" s="184">
        <v>0</v>
      </c>
      <c r="G159" s="184">
        <v>0</v>
      </c>
      <c r="H159" s="184">
        <v>140</v>
      </c>
    </row>
    <row r="160" spans="1:8" ht="15.75" customHeight="1">
      <c r="A160" s="185" t="s">
        <v>297</v>
      </c>
      <c r="B160" s="185"/>
      <c r="C160" s="185" t="s">
        <v>507</v>
      </c>
      <c r="D160" s="184">
        <v>32.8</v>
      </c>
      <c r="E160" s="184">
        <v>0</v>
      </c>
      <c r="F160" s="184">
        <v>0</v>
      </c>
      <c r="G160" s="184">
        <v>0</v>
      </c>
      <c r="H160" s="184">
        <v>32.8</v>
      </c>
    </row>
    <row r="161" spans="1:8" ht="15.75" customHeight="1">
      <c r="A161" s="185" t="s">
        <v>508</v>
      </c>
      <c r="B161" s="185"/>
      <c r="C161" s="185" t="s">
        <v>509</v>
      </c>
      <c r="D161" s="184">
        <v>85</v>
      </c>
      <c r="E161" s="184">
        <v>0</v>
      </c>
      <c r="F161" s="184">
        <v>0</v>
      </c>
      <c r="G161" s="184">
        <v>0</v>
      </c>
      <c r="H161" s="184">
        <v>85</v>
      </c>
    </row>
    <row r="162" spans="1:8" ht="15.75" customHeight="1">
      <c r="A162" s="185" t="s">
        <v>287</v>
      </c>
      <c r="B162" s="185"/>
      <c r="C162" s="185" t="s">
        <v>510</v>
      </c>
      <c r="D162" s="184">
        <v>85</v>
      </c>
      <c r="E162" s="184">
        <v>0</v>
      </c>
      <c r="F162" s="184">
        <v>0</v>
      </c>
      <c r="G162" s="184">
        <v>0</v>
      </c>
      <c r="H162" s="184">
        <v>85</v>
      </c>
    </row>
    <row r="163" spans="1:8" ht="15.75" customHeight="1">
      <c r="A163" s="185" t="s">
        <v>511</v>
      </c>
      <c r="B163" s="185"/>
      <c r="C163" s="185" t="s">
        <v>512</v>
      </c>
      <c r="D163" s="184">
        <v>250.53</v>
      </c>
      <c r="E163" s="184">
        <v>23.91</v>
      </c>
      <c r="F163" s="184">
        <v>0.9</v>
      </c>
      <c r="G163" s="184">
        <v>1.72</v>
      </c>
      <c r="H163" s="184">
        <v>224</v>
      </c>
    </row>
    <row r="164" spans="1:8" ht="15.75" customHeight="1">
      <c r="A164" s="185" t="s">
        <v>287</v>
      </c>
      <c r="B164" s="185"/>
      <c r="C164" s="185" t="s">
        <v>513</v>
      </c>
      <c r="D164" s="184">
        <v>16</v>
      </c>
      <c r="E164" s="184">
        <v>0</v>
      </c>
      <c r="F164" s="184">
        <v>0</v>
      </c>
      <c r="G164" s="184">
        <v>0</v>
      </c>
      <c r="H164" s="184">
        <v>16</v>
      </c>
    </row>
    <row r="165" spans="1:8" ht="15.75" customHeight="1">
      <c r="A165" s="185" t="s">
        <v>332</v>
      </c>
      <c r="B165" s="185"/>
      <c r="C165" s="185" t="s">
        <v>514</v>
      </c>
      <c r="D165" s="184">
        <v>205</v>
      </c>
      <c r="E165" s="184">
        <v>0</v>
      </c>
      <c r="F165" s="184">
        <v>0</v>
      </c>
      <c r="G165" s="184">
        <v>0</v>
      </c>
      <c r="H165" s="184">
        <v>205</v>
      </c>
    </row>
    <row r="166" spans="1:8" ht="15.75" customHeight="1">
      <c r="A166" s="185" t="s">
        <v>346</v>
      </c>
      <c r="B166" s="185"/>
      <c r="C166" s="185" t="s">
        <v>515</v>
      </c>
      <c r="D166" s="184">
        <v>29.53</v>
      </c>
      <c r="E166" s="184">
        <v>23.91</v>
      </c>
      <c r="F166" s="184">
        <v>0.9</v>
      </c>
      <c r="G166" s="184">
        <v>1.72</v>
      </c>
      <c r="H166" s="184">
        <v>3</v>
      </c>
    </row>
    <row r="167" spans="1:8" ht="15.75" customHeight="1">
      <c r="A167" s="185" t="s">
        <v>516</v>
      </c>
      <c r="B167" s="185"/>
      <c r="C167" s="185" t="s">
        <v>517</v>
      </c>
      <c r="D167" s="184">
        <v>219.89</v>
      </c>
      <c r="E167" s="184">
        <v>45.88</v>
      </c>
      <c r="F167" s="184">
        <v>1.25</v>
      </c>
      <c r="G167" s="184">
        <v>3.66</v>
      </c>
      <c r="H167" s="184">
        <v>169.1</v>
      </c>
    </row>
    <row r="168" spans="1:8" ht="15.75" customHeight="1">
      <c r="A168" s="185" t="s">
        <v>287</v>
      </c>
      <c r="B168" s="185"/>
      <c r="C168" s="185" t="s">
        <v>518</v>
      </c>
      <c r="D168" s="184">
        <v>31.81</v>
      </c>
      <c r="E168" s="184">
        <v>28.68</v>
      </c>
      <c r="F168" s="184">
        <v>0.8</v>
      </c>
      <c r="G168" s="184">
        <v>2.33</v>
      </c>
      <c r="H168" s="184">
        <v>0</v>
      </c>
    </row>
    <row r="169" spans="1:8" ht="15.75" customHeight="1">
      <c r="A169" s="185" t="s">
        <v>297</v>
      </c>
      <c r="B169" s="185"/>
      <c r="C169" s="185" t="s">
        <v>519</v>
      </c>
      <c r="D169" s="184">
        <v>188.08</v>
      </c>
      <c r="E169" s="184">
        <v>17.2</v>
      </c>
      <c r="F169" s="184">
        <v>0.45</v>
      </c>
      <c r="G169" s="184">
        <v>1.33</v>
      </c>
      <c r="H169" s="184">
        <v>169.1</v>
      </c>
    </row>
    <row r="170" spans="1:8" ht="15.75" customHeight="1">
      <c r="A170" s="185" t="s">
        <v>520</v>
      </c>
      <c r="B170" s="185"/>
      <c r="C170" s="185" t="s">
        <v>521</v>
      </c>
      <c r="D170" s="184">
        <v>4.4</v>
      </c>
      <c r="E170" s="184">
        <v>0</v>
      </c>
      <c r="F170" s="184">
        <v>0.4</v>
      </c>
      <c r="G170" s="184">
        <v>0</v>
      </c>
      <c r="H170" s="184">
        <v>4</v>
      </c>
    </row>
    <row r="171" spans="1:8" ht="15.75" customHeight="1">
      <c r="A171" s="185" t="s">
        <v>297</v>
      </c>
      <c r="B171" s="185"/>
      <c r="C171" s="185" t="s">
        <v>522</v>
      </c>
      <c r="D171" s="184">
        <v>4.4</v>
      </c>
      <c r="E171" s="184">
        <v>0</v>
      </c>
      <c r="F171" s="184">
        <v>0.4</v>
      </c>
      <c r="G171" s="184">
        <v>0</v>
      </c>
      <c r="H171" s="184">
        <v>4</v>
      </c>
    </row>
    <row r="172" spans="1:8" ht="15.75" customHeight="1">
      <c r="A172" s="185" t="s">
        <v>523</v>
      </c>
      <c r="B172" s="185"/>
      <c r="C172" s="185" t="s">
        <v>524</v>
      </c>
      <c r="D172" s="184">
        <v>273</v>
      </c>
      <c r="E172" s="184">
        <v>0</v>
      </c>
      <c r="F172" s="184">
        <v>0</v>
      </c>
      <c r="G172" s="184">
        <v>0</v>
      </c>
      <c r="H172" s="184">
        <v>273</v>
      </c>
    </row>
    <row r="173" spans="1:8" ht="15.75" customHeight="1">
      <c r="A173" s="185" t="s">
        <v>287</v>
      </c>
      <c r="B173" s="185"/>
      <c r="C173" s="185" t="s">
        <v>525</v>
      </c>
      <c r="D173" s="184">
        <v>63</v>
      </c>
      <c r="E173" s="184">
        <v>0</v>
      </c>
      <c r="F173" s="184">
        <v>0</v>
      </c>
      <c r="G173" s="184">
        <v>0</v>
      </c>
      <c r="H173" s="184">
        <v>63</v>
      </c>
    </row>
    <row r="174" spans="1:8" ht="15.75" customHeight="1">
      <c r="A174" s="185" t="s">
        <v>418</v>
      </c>
      <c r="B174" s="185"/>
      <c r="C174" s="185" t="s">
        <v>526</v>
      </c>
      <c r="D174" s="184">
        <v>210</v>
      </c>
      <c r="E174" s="184">
        <v>0</v>
      </c>
      <c r="F174" s="184">
        <v>0</v>
      </c>
      <c r="G174" s="184">
        <v>0</v>
      </c>
      <c r="H174" s="184">
        <v>210</v>
      </c>
    </row>
    <row r="175" spans="1:8" ht="15.75" customHeight="1">
      <c r="A175" s="185" t="s">
        <v>527</v>
      </c>
      <c r="B175" s="185"/>
      <c r="C175" s="185" t="s">
        <v>528</v>
      </c>
      <c r="D175" s="184">
        <v>31</v>
      </c>
      <c r="E175" s="184">
        <v>0</v>
      </c>
      <c r="F175" s="184">
        <v>0</v>
      </c>
      <c r="G175" s="184">
        <v>0</v>
      </c>
      <c r="H175" s="184">
        <v>31</v>
      </c>
    </row>
    <row r="176" spans="1:8" ht="15.75" customHeight="1">
      <c r="A176" s="185" t="s">
        <v>287</v>
      </c>
      <c r="B176" s="185"/>
      <c r="C176" s="185" t="s">
        <v>529</v>
      </c>
      <c r="D176" s="184">
        <v>30</v>
      </c>
      <c r="E176" s="184">
        <v>0</v>
      </c>
      <c r="F176" s="184">
        <v>0</v>
      </c>
      <c r="G176" s="184">
        <v>0</v>
      </c>
      <c r="H176" s="184">
        <v>30</v>
      </c>
    </row>
    <row r="177" spans="1:8" ht="15.75" customHeight="1">
      <c r="A177" s="185" t="s">
        <v>418</v>
      </c>
      <c r="B177" s="185"/>
      <c r="C177" s="185" t="s">
        <v>530</v>
      </c>
      <c r="D177" s="184">
        <v>1</v>
      </c>
      <c r="E177" s="184">
        <v>0</v>
      </c>
      <c r="F177" s="184">
        <v>0</v>
      </c>
      <c r="G177" s="184">
        <v>0</v>
      </c>
      <c r="H177" s="184">
        <v>1</v>
      </c>
    </row>
    <row r="178" spans="1:8" ht="15.75" customHeight="1">
      <c r="A178" s="185" t="s">
        <v>531</v>
      </c>
      <c r="B178" s="185"/>
      <c r="C178" s="185" t="s">
        <v>532</v>
      </c>
      <c r="D178" s="184">
        <v>151</v>
      </c>
      <c r="E178" s="184">
        <v>0</v>
      </c>
      <c r="F178" s="184">
        <v>0</v>
      </c>
      <c r="G178" s="184">
        <v>0</v>
      </c>
      <c r="H178" s="184">
        <v>151</v>
      </c>
    </row>
    <row r="179" spans="1:8" ht="15.75" customHeight="1">
      <c r="A179" s="185" t="s">
        <v>418</v>
      </c>
      <c r="B179" s="185"/>
      <c r="C179" s="185" t="s">
        <v>533</v>
      </c>
      <c r="D179" s="184">
        <v>151</v>
      </c>
      <c r="E179" s="184">
        <v>0</v>
      </c>
      <c r="F179" s="184">
        <v>0</v>
      </c>
      <c r="G179" s="184">
        <v>0</v>
      </c>
      <c r="H179" s="184">
        <v>151</v>
      </c>
    </row>
    <row r="180" spans="1:8" ht="15.75" customHeight="1">
      <c r="A180" s="185" t="s">
        <v>534</v>
      </c>
      <c r="B180" s="185"/>
      <c r="C180" s="185" t="s">
        <v>535</v>
      </c>
      <c r="D180" s="184">
        <v>262.82</v>
      </c>
      <c r="E180" s="184">
        <v>0</v>
      </c>
      <c r="F180" s="184">
        <v>0</v>
      </c>
      <c r="G180" s="184">
        <v>0</v>
      </c>
      <c r="H180" s="184">
        <v>262.82</v>
      </c>
    </row>
    <row r="181" spans="1:8" ht="15.75" customHeight="1">
      <c r="A181" s="185" t="s">
        <v>287</v>
      </c>
      <c r="B181" s="185"/>
      <c r="C181" s="185" t="s">
        <v>536</v>
      </c>
      <c r="D181" s="184">
        <v>182.1</v>
      </c>
      <c r="E181" s="184">
        <v>0</v>
      </c>
      <c r="F181" s="184">
        <v>0</v>
      </c>
      <c r="G181" s="184">
        <v>0</v>
      </c>
      <c r="H181" s="184">
        <v>182.1</v>
      </c>
    </row>
    <row r="182" spans="1:8" ht="15.75" customHeight="1">
      <c r="A182" s="185" t="s">
        <v>418</v>
      </c>
      <c r="B182" s="185"/>
      <c r="C182" s="185" t="s">
        <v>537</v>
      </c>
      <c r="D182" s="184">
        <v>80.72</v>
      </c>
      <c r="E182" s="184">
        <v>0</v>
      </c>
      <c r="F182" s="184">
        <v>0</v>
      </c>
      <c r="G182" s="184">
        <v>0</v>
      </c>
      <c r="H182" s="184">
        <v>80.72</v>
      </c>
    </row>
    <row r="183" spans="1:8" ht="15.75" customHeight="1">
      <c r="A183" s="185" t="s">
        <v>538</v>
      </c>
      <c r="B183" s="185"/>
      <c r="C183" s="185" t="s">
        <v>539</v>
      </c>
      <c r="D183" s="184">
        <v>329.11</v>
      </c>
      <c r="E183" s="184">
        <v>0</v>
      </c>
      <c r="F183" s="184">
        <v>0</v>
      </c>
      <c r="G183" s="184">
        <v>0</v>
      </c>
      <c r="H183" s="184">
        <v>329.11</v>
      </c>
    </row>
    <row r="184" spans="1:8" ht="15.75" customHeight="1">
      <c r="A184" s="185" t="s">
        <v>287</v>
      </c>
      <c r="B184" s="185"/>
      <c r="C184" s="185" t="s">
        <v>540</v>
      </c>
      <c r="D184" s="184">
        <v>329.11</v>
      </c>
      <c r="E184" s="184">
        <v>0</v>
      </c>
      <c r="F184" s="184">
        <v>0</v>
      </c>
      <c r="G184" s="184">
        <v>0</v>
      </c>
      <c r="H184" s="184">
        <v>329.11</v>
      </c>
    </row>
    <row r="185" spans="1:8" ht="15.75" customHeight="1">
      <c r="A185" s="185" t="s">
        <v>541</v>
      </c>
      <c r="B185" s="185"/>
      <c r="C185" s="185" t="s">
        <v>542</v>
      </c>
      <c r="D185" s="184">
        <v>7536.19</v>
      </c>
      <c r="E185" s="184">
        <v>2822.91</v>
      </c>
      <c r="F185" s="184">
        <v>93.61</v>
      </c>
      <c r="G185" s="184">
        <v>151.74</v>
      </c>
      <c r="H185" s="184">
        <v>4467.93</v>
      </c>
    </row>
    <row r="186" spans="1:8" ht="15.75" customHeight="1">
      <c r="A186" s="185" t="s">
        <v>543</v>
      </c>
      <c r="B186" s="185"/>
      <c r="C186" s="185" t="s">
        <v>544</v>
      </c>
      <c r="D186" s="184">
        <v>161.64</v>
      </c>
      <c r="E186" s="184">
        <v>77.58</v>
      </c>
      <c r="F186" s="184">
        <v>2.45</v>
      </c>
      <c r="G186" s="184">
        <v>6.61</v>
      </c>
      <c r="H186" s="184">
        <v>75</v>
      </c>
    </row>
    <row r="187" spans="1:8" ht="15.75" customHeight="1">
      <c r="A187" s="185" t="s">
        <v>287</v>
      </c>
      <c r="B187" s="185"/>
      <c r="C187" s="185" t="s">
        <v>545</v>
      </c>
      <c r="D187" s="184">
        <v>87.76</v>
      </c>
      <c r="E187" s="184">
        <v>19.89</v>
      </c>
      <c r="F187" s="184">
        <v>0.95</v>
      </c>
      <c r="G187" s="184">
        <v>1.92</v>
      </c>
      <c r="H187" s="184">
        <v>65</v>
      </c>
    </row>
    <row r="188" spans="1:8" ht="15.75" customHeight="1">
      <c r="A188" s="185" t="s">
        <v>302</v>
      </c>
      <c r="B188" s="185"/>
      <c r="C188" s="185" t="s">
        <v>546</v>
      </c>
      <c r="D188" s="184">
        <v>73.88</v>
      </c>
      <c r="E188" s="184">
        <v>57.69</v>
      </c>
      <c r="F188" s="184">
        <v>1.5</v>
      </c>
      <c r="G188" s="184">
        <v>4.69</v>
      </c>
      <c r="H188" s="184">
        <v>10</v>
      </c>
    </row>
    <row r="189" spans="1:8" ht="15.75" customHeight="1">
      <c r="A189" s="185" t="s">
        <v>547</v>
      </c>
      <c r="B189" s="185"/>
      <c r="C189" s="185" t="s">
        <v>548</v>
      </c>
      <c r="D189" s="184">
        <v>1129.72</v>
      </c>
      <c r="E189" s="184">
        <v>926.93</v>
      </c>
      <c r="F189" s="184">
        <v>0</v>
      </c>
      <c r="G189" s="184">
        <v>16.29</v>
      </c>
      <c r="H189" s="184">
        <v>186.5</v>
      </c>
    </row>
    <row r="190" spans="1:8" ht="15.75" customHeight="1">
      <c r="A190" s="185" t="s">
        <v>287</v>
      </c>
      <c r="B190" s="185"/>
      <c r="C190" s="185" t="s">
        <v>549</v>
      </c>
      <c r="D190" s="184">
        <v>901.93</v>
      </c>
      <c r="E190" s="184">
        <v>765.43</v>
      </c>
      <c r="F190" s="184">
        <v>0</v>
      </c>
      <c r="G190" s="184">
        <v>0</v>
      </c>
      <c r="H190" s="184">
        <v>136.5</v>
      </c>
    </row>
    <row r="191" spans="1:8" ht="15.75" customHeight="1">
      <c r="A191" s="185" t="s">
        <v>418</v>
      </c>
      <c r="B191" s="185"/>
      <c r="C191" s="185" t="s">
        <v>550</v>
      </c>
      <c r="D191" s="184">
        <v>177.79</v>
      </c>
      <c r="E191" s="184">
        <v>161.5</v>
      </c>
      <c r="F191" s="184">
        <v>0</v>
      </c>
      <c r="G191" s="184">
        <v>16.29</v>
      </c>
      <c r="H191" s="184">
        <v>0</v>
      </c>
    </row>
    <row r="192" spans="1:8" ht="15.75" customHeight="1">
      <c r="A192" s="185" t="s">
        <v>297</v>
      </c>
      <c r="B192" s="185"/>
      <c r="C192" s="185" t="s">
        <v>551</v>
      </c>
      <c r="D192" s="184">
        <v>50</v>
      </c>
      <c r="E192" s="184">
        <v>0</v>
      </c>
      <c r="F192" s="184">
        <v>0</v>
      </c>
      <c r="G192" s="184">
        <v>0</v>
      </c>
      <c r="H192" s="184">
        <v>50</v>
      </c>
    </row>
    <row r="193" spans="1:8" ht="15.75" customHeight="1">
      <c r="A193" s="185" t="s">
        <v>552</v>
      </c>
      <c r="B193" s="185"/>
      <c r="C193" s="185" t="s">
        <v>553</v>
      </c>
      <c r="D193" s="184">
        <v>1110.5</v>
      </c>
      <c r="E193" s="184">
        <v>911.82</v>
      </c>
      <c r="F193" s="184">
        <v>16.2</v>
      </c>
      <c r="G193" s="184">
        <v>55.48</v>
      </c>
      <c r="H193" s="184">
        <v>127</v>
      </c>
    </row>
    <row r="194" spans="1:8" ht="15.75" customHeight="1">
      <c r="A194" s="185" t="s">
        <v>287</v>
      </c>
      <c r="B194" s="185"/>
      <c r="C194" s="185" t="s">
        <v>554</v>
      </c>
      <c r="D194" s="184">
        <v>56.78</v>
      </c>
      <c r="E194" s="184">
        <v>52</v>
      </c>
      <c r="F194" s="184">
        <v>0</v>
      </c>
      <c r="G194" s="184">
        <v>4.78</v>
      </c>
      <c r="H194" s="184">
        <v>0</v>
      </c>
    </row>
    <row r="195" spans="1:8" ht="15.75" customHeight="1">
      <c r="A195" s="185" t="s">
        <v>418</v>
      </c>
      <c r="B195" s="185"/>
      <c r="C195" s="185" t="s">
        <v>555</v>
      </c>
      <c r="D195" s="184">
        <v>1053.72</v>
      </c>
      <c r="E195" s="184">
        <v>859.82</v>
      </c>
      <c r="F195" s="184">
        <v>16.2</v>
      </c>
      <c r="G195" s="184">
        <v>50.7</v>
      </c>
      <c r="H195" s="184">
        <v>127</v>
      </c>
    </row>
    <row r="196" spans="1:8" ht="15.75" customHeight="1">
      <c r="A196" s="185" t="s">
        <v>556</v>
      </c>
      <c r="B196" s="185"/>
      <c r="C196" s="185" t="s">
        <v>557</v>
      </c>
      <c r="D196" s="184">
        <v>796.11</v>
      </c>
      <c r="E196" s="184">
        <v>635.67</v>
      </c>
      <c r="F196" s="184">
        <v>67.06</v>
      </c>
      <c r="G196" s="184">
        <v>51.88</v>
      </c>
      <c r="H196" s="184">
        <v>41.5</v>
      </c>
    </row>
    <row r="197" spans="1:8" ht="15.75" customHeight="1">
      <c r="A197" s="185" t="s">
        <v>287</v>
      </c>
      <c r="B197" s="185"/>
      <c r="C197" s="185" t="s">
        <v>558</v>
      </c>
      <c r="D197" s="184">
        <v>227.01</v>
      </c>
      <c r="E197" s="184">
        <v>164.86</v>
      </c>
      <c r="F197" s="184">
        <v>37.48</v>
      </c>
      <c r="G197" s="184">
        <v>13.67</v>
      </c>
      <c r="H197" s="184">
        <v>11</v>
      </c>
    </row>
    <row r="198" spans="1:8" ht="15.75" customHeight="1">
      <c r="A198" s="185" t="s">
        <v>418</v>
      </c>
      <c r="B198" s="185"/>
      <c r="C198" s="185" t="s">
        <v>559</v>
      </c>
      <c r="D198" s="184">
        <v>110.5</v>
      </c>
      <c r="E198" s="184">
        <v>83.82</v>
      </c>
      <c r="F198" s="184">
        <v>19.83</v>
      </c>
      <c r="G198" s="184">
        <v>6.85</v>
      </c>
      <c r="H198" s="184">
        <v>0</v>
      </c>
    </row>
    <row r="199" spans="1:8" ht="15.75" customHeight="1">
      <c r="A199" s="185" t="s">
        <v>302</v>
      </c>
      <c r="B199" s="185"/>
      <c r="C199" s="185" t="s">
        <v>560</v>
      </c>
      <c r="D199" s="184">
        <v>170.03</v>
      </c>
      <c r="E199" s="184">
        <v>129.74</v>
      </c>
      <c r="F199" s="184">
        <v>3.45</v>
      </c>
      <c r="G199" s="184">
        <v>11.34</v>
      </c>
      <c r="H199" s="184">
        <v>25.5</v>
      </c>
    </row>
    <row r="200" spans="1:8" ht="15.75" customHeight="1">
      <c r="A200" s="185" t="s">
        <v>295</v>
      </c>
      <c r="B200" s="185"/>
      <c r="C200" s="185" t="s">
        <v>561</v>
      </c>
      <c r="D200" s="184">
        <v>288.57</v>
      </c>
      <c r="E200" s="184">
        <v>257.25</v>
      </c>
      <c r="F200" s="184">
        <v>6.3</v>
      </c>
      <c r="G200" s="184">
        <v>20.02</v>
      </c>
      <c r="H200" s="184">
        <v>5</v>
      </c>
    </row>
    <row r="201" spans="1:8" ht="15.75" customHeight="1">
      <c r="A201" s="185" t="s">
        <v>562</v>
      </c>
      <c r="B201" s="185"/>
      <c r="C201" s="185" t="s">
        <v>563</v>
      </c>
      <c r="D201" s="184">
        <v>1023.22</v>
      </c>
      <c r="E201" s="184">
        <v>0</v>
      </c>
      <c r="F201" s="184">
        <v>0</v>
      </c>
      <c r="G201" s="184">
        <v>0</v>
      </c>
      <c r="H201" s="184">
        <v>1023.22</v>
      </c>
    </row>
    <row r="202" spans="1:8" ht="15.75" customHeight="1">
      <c r="A202" s="185" t="s">
        <v>287</v>
      </c>
      <c r="B202" s="185"/>
      <c r="C202" s="185" t="s">
        <v>564</v>
      </c>
      <c r="D202" s="184">
        <v>118.02</v>
      </c>
      <c r="E202" s="184">
        <v>0</v>
      </c>
      <c r="F202" s="184">
        <v>0</v>
      </c>
      <c r="G202" s="184">
        <v>0</v>
      </c>
      <c r="H202" s="184">
        <v>118.02</v>
      </c>
    </row>
    <row r="203" spans="1:8" ht="15.75" customHeight="1">
      <c r="A203" s="185" t="s">
        <v>332</v>
      </c>
      <c r="B203" s="185"/>
      <c r="C203" s="185" t="s">
        <v>565</v>
      </c>
      <c r="D203" s="184">
        <v>4</v>
      </c>
      <c r="E203" s="184">
        <v>0</v>
      </c>
      <c r="F203" s="184">
        <v>0</v>
      </c>
      <c r="G203" s="184">
        <v>0</v>
      </c>
      <c r="H203" s="184">
        <v>4</v>
      </c>
    </row>
    <row r="204" spans="1:8" ht="15.75" customHeight="1">
      <c r="A204" s="185" t="s">
        <v>404</v>
      </c>
      <c r="B204" s="185"/>
      <c r="C204" s="185" t="s">
        <v>566</v>
      </c>
      <c r="D204" s="184">
        <v>889.2</v>
      </c>
      <c r="E204" s="184">
        <v>0</v>
      </c>
      <c r="F204" s="184">
        <v>0</v>
      </c>
      <c r="G204" s="184">
        <v>0</v>
      </c>
      <c r="H204" s="184">
        <v>889.2</v>
      </c>
    </row>
    <row r="205" spans="1:8" ht="15.75" customHeight="1">
      <c r="A205" s="185" t="s">
        <v>456</v>
      </c>
      <c r="B205" s="185"/>
      <c r="C205" s="185" t="s">
        <v>567</v>
      </c>
      <c r="D205" s="184">
        <v>12</v>
      </c>
      <c r="E205" s="184">
        <v>0</v>
      </c>
      <c r="F205" s="184">
        <v>0</v>
      </c>
      <c r="G205" s="184">
        <v>0</v>
      </c>
      <c r="H205" s="184">
        <v>12</v>
      </c>
    </row>
    <row r="206" spans="1:8" ht="15.75" customHeight="1">
      <c r="A206" s="185" t="s">
        <v>568</v>
      </c>
      <c r="B206" s="185"/>
      <c r="C206" s="185" t="s">
        <v>569</v>
      </c>
      <c r="D206" s="184">
        <v>1457.66</v>
      </c>
      <c r="E206" s="184">
        <v>199.28</v>
      </c>
      <c r="F206" s="184">
        <v>5.9</v>
      </c>
      <c r="G206" s="184">
        <v>15.77</v>
      </c>
      <c r="H206" s="184">
        <v>1236.71</v>
      </c>
    </row>
    <row r="207" spans="1:8" ht="15.75" customHeight="1">
      <c r="A207" s="185" t="s">
        <v>570</v>
      </c>
      <c r="B207" s="185"/>
      <c r="C207" s="185" t="s">
        <v>571</v>
      </c>
      <c r="D207" s="184">
        <v>1308.07</v>
      </c>
      <c r="E207" s="184">
        <v>107.18</v>
      </c>
      <c r="F207" s="184">
        <v>3.35</v>
      </c>
      <c r="G207" s="184">
        <v>8.29</v>
      </c>
      <c r="H207" s="184">
        <v>1189.25</v>
      </c>
    </row>
    <row r="208" spans="1:8" ht="15.75" customHeight="1">
      <c r="A208" s="185" t="s">
        <v>392</v>
      </c>
      <c r="B208" s="185"/>
      <c r="C208" s="185" t="s">
        <v>572</v>
      </c>
      <c r="D208" s="184">
        <v>102.13</v>
      </c>
      <c r="E208" s="184">
        <v>92.1</v>
      </c>
      <c r="F208" s="184">
        <v>2.55</v>
      </c>
      <c r="G208" s="184">
        <v>7.48</v>
      </c>
      <c r="H208" s="184">
        <v>0</v>
      </c>
    </row>
    <row r="209" spans="1:8" ht="15.75" customHeight="1">
      <c r="A209" s="185" t="s">
        <v>297</v>
      </c>
      <c r="B209" s="185"/>
      <c r="C209" s="185" t="s">
        <v>573</v>
      </c>
      <c r="D209" s="184">
        <v>47.46</v>
      </c>
      <c r="E209" s="184">
        <v>0</v>
      </c>
      <c r="F209" s="184">
        <v>0</v>
      </c>
      <c r="G209" s="184">
        <v>0</v>
      </c>
      <c r="H209" s="184">
        <v>47.46</v>
      </c>
    </row>
    <row r="210" spans="1:8" ht="15.75" customHeight="1">
      <c r="A210" s="185" t="s">
        <v>574</v>
      </c>
      <c r="B210" s="185"/>
      <c r="C210" s="185" t="s">
        <v>575</v>
      </c>
      <c r="D210" s="184">
        <v>157.34</v>
      </c>
      <c r="E210" s="184">
        <v>71.63</v>
      </c>
      <c r="F210" s="184">
        <v>2</v>
      </c>
      <c r="G210" s="184">
        <v>5.71</v>
      </c>
      <c r="H210" s="184">
        <v>78</v>
      </c>
    </row>
    <row r="211" spans="1:8" ht="15.75" customHeight="1">
      <c r="A211" s="185" t="s">
        <v>287</v>
      </c>
      <c r="B211" s="185"/>
      <c r="C211" s="185" t="s">
        <v>576</v>
      </c>
      <c r="D211" s="184">
        <v>84.34</v>
      </c>
      <c r="E211" s="184">
        <v>71.63</v>
      </c>
      <c r="F211" s="184">
        <v>2</v>
      </c>
      <c r="G211" s="184">
        <v>5.71</v>
      </c>
      <c r="H211" s="184">
        <v>5</v>
      </c>
    </row>
    <row r="212" spans="1:8" ht="15.75" customHeight="1">
      <c r="A212" s="185" t="s">
        <v>297</v>
      </c>
      <c r="B212" s="185"/>
      <c r="C212" s="185" t="s">
        <v>577</v>
      </c>
      <c r="D212" s="184">
        <v>73</v>
      </c>
      <c r="E212" s="184">
        <v>0</v>
      </c>
      <c r="F212" s="184">
        <v>0</v>
      </c>
      <c r="G212" s="184">
        <v>0</v>
      </c>
      <c r="H212" s="184">
        <v>73</v>
      </c>
    </row>
    <row r="213" spans="1:8" ht="15.75" customHeight="1">
      <c r="A213" s="185" t="s">
        <v>578</v>
      </c>
      <c r="B213" s="185"/>
      <c r="C213" s="185" t="s">
        <v>579</v>
      </c>
      <c r="D213" s="184">
        <v>1700</v>
      </c>
      <c r="E213" s="184">
        <v>0</v>
      </c>
      <c r="F213" s="184">
        <v>0</v>
      </c>
      <c r="G213" s="184">
        <v>0</v>
      </c>
      <c r="H213" s="184">
        <v>1700</v>
      </c>
    </row>
    <row r="214" spans="1:8" ht="15.75" customHeight="1">
      <c r="A214" s="185" t="s">
        <v>287</v>
      </c>
      <c r="B214" s="185"/>
      <c r="C214" s="185" t="s">
        <v>580</v>
      </c>
      <c r="D214" s="184">
        <v>1700</v>
      </c>
      <c r="E214" s="184">
        <v>0</v>
      </c>
      <c r="F214" s="184">
        <v>0</v>
      </c>
      <c r="G214" s="184">
        <v>0</v>
      </c>
      <c r="H214" s="184">
        <v>1700</v>
      </c>
    </row>
    <row r="215" spans="1:8" ht="15.75" customHeight="1">
      <c r="A215" s="185" t="s">
        <v>581</v>
      </c>
      <c r="B215" s="185"/>
      <c r="C215" s="185" t="s">
        <v>582</v>
      </c>
      <c r="D215" s="184">
        <v>615.43</v>
      </c>
      <c r="E215" s="184">
        <v>160.5</v>
      </c>
      <c r="F215" s="184">
        <v>4.65</v>
      </c>
      <c r="G215" s="184">
        <v>13.18</v>
      </c>
      <c r="H215" s="184">
        <v>437.1</v>
      </c>
    </row>
    <row r="216" spans="1:8" ht="15.75" customHeight="1">
      <c r="A216" s="185" t="s">
        <v>583</v>
      </c>
      <c r="B216" s="185"/>
      <c r="C216" s="185" t="s">
        <v>584</v>
      </c>
      <c r="D216" s="184">
        <v>60.61</v>
      </c>
      <c r="E216" s="184">
        <v>38.86</v>
      </c>
      <c r="F216" s="184">
        <v>1.2</v>
      </c>
      <c r="G216" s="184">
        <v>3.45</v>
      </c>
      <c r="H216" s="184">
        <v>17.1</v>
      </c>
    </row>
    <row r="217" spans="1:8" ht="15.75" customHeight="1">
      <c r="A217" s="185" t="s">
        <v>287</v>
      </c>
      <c r="B217" s="185"/>
      <c r="C217" s="185" t="s">
        <v>585</v>
      </c>
      <c r="D217" s="184">
        <v>60.61</v>
      </c>
      <c r="E217" s="184">
        <v>38.86</v>
      </c>
      <c r="F217" s="184">
        <v>1.2</v>
      </c>
      <c r="G217" s="184">
        <v>3.45</v>
      </c>
      <c r="H217" s="184">
        <v>17.1</v>
      </c>
    </row>
    <row r="218" spans="1:8" ht="15.75" customHeight="1">
      <c r="A218" s="185" t="s">
        <v>586</v>
      </c>
      <c r="B218" s="185"/>
      <c r="C218" s="185" t="s">
        <v>587</v>
      </c>
      <c r="D218" s="184">
        <v>134.82</v>
      </c>
      <c r="E218" s="184">
        <v>121.64</v>
      </c>
      <c r="F218" s="184">
        <v>3.45</v>
      </c>
      <c r="G218" s="184">
        <v>9.73</v>
      </c>
      <c r="H218" s="184">
        <v>0</v>
      </c>
    </row>
    <row r="219" spans="1:8" ht="15.75" customHeight="1">
      <c r="A219" s="185" t="s">
        <v>297</v>
      </c>
      <c r="B219" s="185"/>
      <c r="C219" s="185" t="s">
        <v>588</v>
      </c>
      <c r="D219" s="184">
        <v>134.82</v>
      </c>
      <c r="E219" s="184">
        <v>121.64</v>
      </c>
      <c r="F219" s="184">
        <v>3.45</v>
      </c>
      <c r="G219" s="184">
        <v>9.73</v>
      </c>
      <c r="H219" s="184">
        <v>0</v>
      </c>
    </row>
    <row r="220" spans="1:8" ht="15.75" customHeight="1">
      <c r="A220" s="185" t="s">
        <v>589</v>
      </c>
      <c r="B220" s="185"/>
      <c r="C220" s="185" t="s">
        <v>590</v>
      </c>
      <c r="D220" s="184">
        <v>360</v>
      </c>
      <c r="E220" s="184">
        <v>0</v>
      </c>
      <c r="F220" s="184">
        <v>0</v>
      </c>
      <c r="G220" s="184">
        <v>0</v>
      </c>
      <c r="H220" s="184">
        <v>360</v>
      </c>
    </row>
    <row r="221" spans="1:8" ht="15.75" customHeight="1">
      <c r="A221" s="185" t="s">
        <v>418</v>
      </c>
      <c r="B221" s="185"/>
      <c r="C221" s="185" t="s">
        <v>591</v>
      </c>
      <c r="D221" s="184">
        <v>210</v>
      </c>
      <c r="E221" s="184">
        <v>0</v>
      </c>
      <c r="F221" s="184">
        <v>0</v>
      </c>
      <c r="G221" s="184">
        <v>0</v>
      </c>
      <c r="H221" s="184">
        <v>210</v>
      </c>
    </row>
    <row r="222" spans="1:8" ht="15.75" customHeight="1">
      <c r="A222" s="185" t="s">
        <v>486</v>
      </c>
      <c r="B222" s="185"/>
      <c r="C222" s="185" t="s">
        <v>592</v>
      </c>
      <c r="D222" s="184">
        <v>150</v>
      </c>
      <c r="E222" s="184">
        <v>0</v>
      </c>
      <c r="F222" s="184">
        <v>0</v>
      </c>
      <c r="G222" s="184">
        <v>0</v>
      </c>
      <c r="H222" s="184">
        <v>150</v>
      </c>
    </row>
    <row r="223" spans="1:8" ht="15.75" customHeight="1">
      <c r="A223" s="185" t="s">
        <v>593</v>
      </c>
      <c r="B223" s="185"/>
      <c r="C223" s="185" t="s">
        <v>594</v>
      </c>
      <c r="D223" s="184">
        <v>60</v>
      </c>
      <c r="E223" s="184">
        <v>0</v>
      </c>
      <c r="F223" s="184">
        <v>0</v>
      </c>
      <c r="G223" s="184">
        <v>0</v>
      </c>
      <c r="H223" s="184">
        <v>60</v>
      </c>
    </row>
    <row r="224" spans="1:8" ht="15.75" customHeight="1">
      <c r="A224" s="185" t="s">
        <v>287</v>
      </c>
      <c r="B224" s="185"/>
      <c r="C224" s="185" t="s">
        <v>595</v>
      </c>
      <c r="D224" s="184">
        <v>50</v>
      </c>
      <c r="E224" s="184">
        <v>0</v>
      </c>
      <c r="F224" s="184">
        <v>0</v>
      </c>
      <c r="G224" s="184">
        <v>0</v>
      </c>
      <c r="H224" s="184">
        <v>50</v>
      </c>
    </row>
    <row r="225" spans="1:8" ht="15.75" customHeight="1">
      <c r="A225" s="185" t="s">
        <v>418</v>
      </c>
      <c r="B225" s="185"/>
      <c r="C225" s="185" t="s">
        <v>596</v>
      </c>
      <c r="D225" s="184">
        <v>10</v>
      </c>
      <c r="E225" s="184">
        <v>0</v>
      </c>
      <c r="F225" s="184">
        <v>0</v>
      </c>
      <c r="G225" s="184">
        <v>0</v>
      </c>
      <c r="H225" s="184">
        <v>10</v>
      </c>
    </row>
    <row r="226" spans="1:8" ht="15.75" customHeight="1">
      <c r="A226" s="185" t="s">
        <v>597</v>
      </c>
      <c r="B226" s="185"/>
      <c r="C226" s="185" t="s">
        <v>598</v>
      </c>
      <c r="D226" s="184">
        <v>1817.07</v>
      </c>
      <c r="E226" s="184">
        <v>471.37</v>
      </c>
      <c r="F226" s="184">
        <v>19.4</v>
      </c>
      <c r="G226" s="184">
        <v>40.07</v>
      </c>
      <c r="H226" s="184">
        <v>1286.23</v>
      </c>
    </row>
    <row r="227" spans="1:8" ht="15.75" customHeight="1">
      <c r="A227" s="185" t="s">
        <v>599</v>
      </c>
      <c r="B227" s="185"/>
      <c r="C227" s="185" t="s">
        <v>600</v>
      </c>
      <c r="D227" s="184">
        <v>748.95</v>
      </c>
      <c r="E227" s="184">
        <v>235.77</v>
      </c>
      <c r="F227" s="184">
        <v>6.95</v>
      </c>
      <c r="G227" s="184">
        <v>20.21</v>
      </c>
      <c r="H227" s="184">
        <v>486.02</v>
      </c>
    </row>
    <row r="228" spans="1:8" ht="15.75" customHeight="1">
      <c r="A228" s="185" t="s">
        <v>287</v>
      </c>
      <c r="B228" s="185"/>
      <c r="C228" s="185" t="s">
        <v>601</v>
      </c>
      <c r="D228" s="184">
        <v>74.88</v>
      </c>
      <c r="E228" s="184">
        <v>66.71</v>
      </c>
      <c r="F228" s="184">
        <v>2</v>
      </c>
      <c r="G228" s="184">
        <v>6.17</v>
      </c>
      <c r="H228" s="184">
        <v>0</v>
      </c>
    </row>
    <row r="229" spans="1:8" ht="15.75" customHeight="1">
      <c r="A229" s="185" t="s">
        <v>332</v>
      </c>
      <c r="B229" s="185"/>
      <c r="C229" s="185" t="s">
        <v>602</v>
      </c>
      <c r="D229" s="184">
        <v>135.61</v>
      </c>
      <c r="E229" s="184">
        <v>81.47</v>
      </c>
      <c r="F229" s="184">
        <v>2.55</v>
      </c>
      <c r="G229" s="184">
        <v>6.71</v>
      </c>
      <c r="H229" s="184">
        <v>44.88</v>
      </c>
    </row>
    <row r="230" spans="1:8" ht="15.75" customHeight="1">
      <c r="A230" s="185" t="s">
        <v>346</v>
      </c>
      <c r="B230" s="185"/>
      <c r="C230" s="185" t="s">
        <v>603</v>
      </c>
      <c r="D230" s="184">
        <v>4.64</v>
      </c>
      <c r="E230" s="184">
        <v>4.15</v>
      </c>
      <c r="F230" s="184">
        <v>0.15</v>
      </c>
      <c r="G230" s="184">
        <v>0.34</v>
      </c>
      <c r="H230" s="184">
        <v>0</v>
      </c>
    </row>
    <row r="231" spans="1:8" ht="15.75" customHeight="1">
      <c r="A231" s="185" t="s">
        <v>486</v>
      </c>
      <c r="B231" s="185"/>
      <c r="C231" s="185" t="s">
        <v>604</v>
      </c>
      <c r="D231" s="184">
        <v>38.52</v>
      </c>
      <c r="E231" s="184">
        <v>34.72</v>
      </c>
      <c r="F231" s="184">
        <v>0.9</v>
      </c>
      <c r="G231" s="184">
        <v>2.9</v>
      </c>
      <c r="H231" s="184">
        <v>0</v>
      </c>
    </row>
    <row r="232" spans="1:8" ht="15.75" customHeight="1">
      <c r="A232" s="185" t="s">
        <v>456</v>
      </c>
      <c r="B232" s="185"/>
      <c r="C232" s="185" t="s">
        <v>605</v>
      </c>
      <c r="D232" s="184">
        <v>23.46</v>
      </c>
      <c r="E232" s="184">
        <v>15.65</v>
      </c>
      <c r="F232" s="184">
        <v>0.45</v>
      </c>
      <c r="G232" s="184">
        <v>1.36</v>
      </c>
      <c r="H232" s="184">
        <v>6</v>
      </c>
    </row>
    <row r="233" spans="1:8" ht="15.75" customHeight="1">
      <c r="A233" s="185" t="s">
        <v>297</v>
      </c>
      <c r="B233" s="185"/>
      <c r="C233" s="185" t="s">
        <v>606</v>
      </c>
      <c r="D233" s="184">
        <v>471.84</v>
      </c>
      <c r="E233" s="184">
        <v>33.07</v>
      </c>
      <c r="F233" s="184">
        <v>0.9</v>
      </c>
      <c r="G233" s="184">
        <v>2.73</v>
      </c>
      <c r="H233" s="184">
        <v>435.14</v>
      </c>
    </row>
    <row r="234" spans="1:8" ht="15.75" customHeight="1">
      <c r="A234" s="185" t="s">
        <v>607</v>
      </c>
      <c r="B234" s="185"/>
      <c r="C234" s="185" t="s">
        <v>608</v>
      </c>
      <c r="D234" s="184">
        <v>48.54</v>
      </c>
      <c r="E234" s="184">
        <v>43.69</v>
      </c>
      <c r="F234" s="184">
        <v>1.2</v>
      </c>
      <c r="G234" s="184">
        <v>3.65</v>
      </c>
      <c r="H234" s="184">
        <v>0</v>
      </c>
    </row>
    <row r="235" spans="1:8" ht="15.75" customHeight="1">
      <c r="A235" s="185" t="s">
        <v>287</v>
      </c>
      <c r="B235" s="185"/>
      <c r="C235" s="185" t="s">
        <v>609</v>
      </c>
      <c r="D235" s="184">
        <v>48.54</v>
      </c>
      <c r="E235" s="184">
        <v>43.69</v>
      </c>
      <c r="F235" s="184">
        <v>1.2</v>
      </c>
      <c r="G235" s="184">
        <v>3.65</v>
      </c>
      <c r="H235" s="184">
        <v>0</v>
      </c>
    </row>
    <row r="236" spans="1:8" ht="15.75" customHeight="1">
      <c r="A236" s="185" t="s">
        <v>610</v>
      </c>
      <c r="B236" s="185"/>
      <c r="C236" s="185" t="s">
        <v>611</v>
      </c>
      <c r="D236" s="184">
        <v>42.17</v>
      </c>
      <c r="E236" s="184">
        <v>37.9</v>
      </c>
      <c r="F236" s="184">
        <v>1.2</v>
      </c>
      <c r="G236" s="184">
        <v>3.07</v>
      </c>
      <c r="H236" s="184">
        <v>0</v>
      </c>
    </row>
    <row r="237" spans="1:8" ht="15.75" customHeight="1">
      <c r="A237" s="185" t="s">
        <v>297</v>
      </c>
      <c r="B237" s="185"/>
      <c r="C237" s="185" t="s">
        <v>612</v>
      </c>
      <c r="D237" s="184">
        <v>42.17</v>
      </c>
      <c r="E237" s="184">
        <v>37.9</v>
      </c>
      <c r="F237" s="184">
        <v>1.2</v>
      </c>
      <c r="G237" s="184">
        <v>3.07</v>
      </c>
      <c r="H237" s="184">
        <v>0</v>
      </c>
    </row>
    <row r="238" spans="1:8" ht="15.75" customHeight="1">
      <c r="A238" s="185" t="s">
        <v>613</v>
      </c>
      <c r="B238" s="185"/>
      <c r="C238" s="185" t="s">
        <v>614</v>
      </c>
      <c r="D238" s="184">
        <v>540.74</v>
      </c>
      <c r="E238" s="184">
        <v>80.78</v>
      </c>
      <c r="F238" s="184">
        <v>2.1</v>
      </c>
      <c r="G238" s="184">
        <v>8.1</v>
      </c>
      <c r="H238" s="184">
        <v>449.76</v>
      </c>
    </row>
    <row r="239" spans="1:8" ht="15.75" customHeight="1">
      <c r="A239" s="185" t="s">
        <v>287</v>
      </c>
      <c r="B239" s="185"/>
      <c r="C239" s="185" t="s">
        <v>615</v>
      </c>
      <c r="D239" s="184">
        <v>540.74</v>
      </c>
      <c r="E239" s="184">
        <v>80.78</v>
      </c>
      <c r="F239" s="184">
        <v>2.1</v>
      </c>
      <c r="G239" s="184">
        <v>8.1</v>
      </c>
      <c r="H239" s="184">
        <v>449.76</v>
      </c>
    </row>
    <row r="240" spans="1:8" ht="15.75" customHeight="1">
      <c r="A240" s="185" t="s">
        <v>616</v>
      </c>
      <c r="B240" s="185"/>
      <c r="C240" s="185" t="s">
        <v>617</v>
      </c>
      <c r="D240" s="184">
        <v>50</v>
      </c>
      <c r="E240" s="184">
        <v>31.34</v>
      </c>
      <c r="F240" s="184">
        <v>6.75</v>
      </c>
      <c r="G240" s="184">
        <v>1.46</v>
      </c>
      <c r="H240" s="184">
        <v>10.45</v>
      </c>
    </row>
    <row r="241" spans="1:8" ht="15.75" customHeight="1">
      <c r="A241" s="185" t="s">
        <v>287</v>
      </c>
      <c r="B241" s="185"/>
      <c r="C241" s="185" t="s">
        <v>618</v>
      </c>
      <c r="D241" s="184">
        <v>50</v>
      </c>
      <c r="E241" s="184">
        <v>31.34</v>
      </c>
      <c r="F241" s="184">
        <v>6.75</v>
      </c>
      <c r="G241" s="184">
        <v>1.46</v>
      </c>
      <c r="H241" s="184">
        <v>10.45</v>
      </c>
    </row>
    <row r="242" spans="1:8" ht="15.75" customHeight="1">
      <c r="A242" s="185" t="s">
        <v>619</v>
      </c>
      <c r="B242" s="185"/>
      <c r="C242" s="185" t="s">
        <v>620</v>
      </c>
      <c r="D242" s="184">
        <v>340</v>
      </c>
      <c r="E242" s="184">
        <v>0</v>
      </c>
      <c r="F242" s="184">
        <v>0</v>
      </c>
      <c r="G242" s="184">
        <v>0</v>
      </c>
      <c r="H242" s="184">
        <v>340</v>
      </c>
    </row>
    <row r="243" spans="1:8" ht="15.75" customHeight="1">
      <c r="A243" s="185" t="s">
        <v>295</v>
      </c>
      <c r="B243" s="185"/>
      <c r="C243" s="185" t="s">
        <v>621</v>
      </c>
      <c r="D243" s="184">
        <v>200</v>
      </c>
      <c r="E243" s="184">
        <v>0</v>
      </c>
      <c r="F243" s="184">
        <v>0</v>
      </c>
      <c r="G243" s="184">
        <v>0</v>
      </c>
      <c r="H243" s="184">
        <v>200</v>
      </c>
    </row>
    <row r="244" spans="1:8" ht="15.75" customHeight="1">
      <c r="A244" s="185" t="s">
        <v>390</v>
      </c>
      <c r="B244" s="185"/>
      <c r="C244" s="185" t="s">
        <v>622</v>
      </c>
      <c r="D244" s="184">
        <v>140</v>
      </c>
      <c r="E244" s="184">
        <v>0</v>
      </c>
      <c r="F244" s="184">
        <v>0</v>
      </c>
      <c r="G244" s="184">
        <v>0</v>
      </c>
      <c r="H244" s="184">
        <v>140</v>
      </c>
    </row>
    <row r="245" spans="1:8" ht="15.75" customHeight="1">
      <c r="A245" s="185" t="s">
        <v>623</v>
      </c>
      <c r="B245" s="185"/>
      <c r="C245" s="185" t="s">
        <v>624</v>
      </c>
      <c r="D245" s="184">
        <v>46.67</v>
      </c>
      <c r="E245" s="184">
        <v>41.89</v>
      </c>
      <c r="F245" s="184">
        <v>1.2</v>
      </c>
      <c r="G245" s="184">
        <v>3.58</v>
      </c>
      <c r="H245" s="184">
        <v>0</v>
      </c>
    </row>
    <row r="246" spans="1:8" ht="15.75" customHeight="1">
      <c r="A246" s="185" t="s">
        <v>297</v>
      </c>
      <c r="B246" s="185"/>
      <c r="C246" s="185" t="s">
        <v>625</v>
      </c>
      <c r="D246" s="184">
        <v>46.67</v>
      </c>
      <c r="E246" s="184">
        <v>41.89</v>
      </c>
      <c r="F246" s="184">
        <v>1.2</v>
      </c>
      <c r="G246" s="184">
        <v>3.58</v>
      </c>
      <c r="H246" s="184">
        <v>0</v>
      </c>
    </row>
    <row r="247" spans="1:8" ht="15.75" customHeight="1">
      <c r="A247" s="185" t="s">
        <v>626</v>
      </c>
      <c r="B247" s="185"/>
      <c r="C247" s="185" t="s">
        <v>627</v>
      </c>
      <c r="D247" s="184">
        <v>9374.61</v>
      </c>
      <c r="E247" s="184">
        <v>2947.6</v>
      </c>
      <c r="F247" s="184">
        <v>120.25</v>
      </c>
      <c r="G247" s="184">
        <v>265.88</v>
      </c>
      <c r="H247" s="184">
        <v>6040.88</v>
      </c>
    </row>
    <row r="248" spans="1:8" ht="15.75" customHeight="1">
      <c r="A248" s="185" t="s">
        <v>628</v>
      </c>
      <c r="B248" s="185"/>
      <c r="C248" s="185" t="s">
        <v>629</v>
      </c>
      <c r="D248" s="184">
        <v>4058.54</v>
      </c>
      <c r="E248" s="184">
        <v>1481.69</v>
      </c>
      <c r="F248" s="184">
        <v>23.7</v>
      </c>
      <c r="G248" s="184">
        <v>157.59</v>
      </c>
      <c r="H248" s="184">
        <v>2395.56</v>
      </c>
    </row>
    <row r="249" spans="1:8" ht="15.75" customHeight="1">
      <c r="A249" s="185" t="s">
        <v>287</v>
      </c>
      <c r="B249" s="185"/>
      <c r="C249" s="185" t="s">
        <v>630</v>
      </c>
      <c r="D249" s="184">
        <v>198.41</v>
      </c>
      <c r="E249" s="184">
        <v>155.3</v>
      </c>
      <c r="F249" s="184">
        <v>4.4</v>
      </c>
      <c r="G249" s="184">
        <v>31.27</v>
      </c>
      <c r="H249" s="184">
        <v>7.44</v>
      </c>
    </row>
    <row r="250" spans="1:8" ht="15.75" customHeight="1">
      <c r="A250" s="185" t="s">
        <v>332</v>
      </c>
      <c r="B250" s="185"/>
      <c r="C250" s="185" t="s">
        <v>631</v>
      </c>
      <c r="D250" s="184">
        <v>1434.63</v>
      </c>
      <c r="E250" s="184">
        <v>1204.01</v>
      </c>
      <c r="F250" s="184">
        <v>19.3</v>
      </c>
      <c r="G250" s="184">
        <v>126.32</v>
      </c>
      <c r="H250" s="184">
        <v>85</v>
      </c>
    </row>
    <row r="251" spans="1:8" ht="15.75" customHeight="1">
      <c r="A251" s="185" t="s">
        <v>632</v>
      </c>
      <c r="B251" s="185"/>
      <c r="C251" s="185" t="s">
        <v>633</v>
      </c>
      <c r="D251" s="184">
        <v>14</v>
      </c>
      <c r="E251" s="184">
        <v>0</v>
      </c>
      <c r="F251" s="184">
        <v>0</v>
      </c>
      <c r="G251" s="184">
        <v>0</v>
      </c>
      <c r="H251" s="184">
        <v>14</v>
      </c>
    </row>
    <row r="252" spans="1:8" ht="15.75" customHeight="1">
      <c r="A252" s="185" t="s">
        <v>634</v>
      </c>
      <c r="B252" s="185"/>
      <c r="C252" s="185" t="s">
        <v>635</v>
      </c>
      <c r="D252" s="184">
        <v>500</v>
      </c>
      <c r="E252" s="184">
        <v>0</v>
      </c>
      <c r="F252" s="184">
        <v>0</v>
      </c>
      <c r="G252" s="184">
        <v>0</v>
      </c>
      <c r="H252" s="184">
        <v>500</v>
      </c>
    </row>
    <row r="253" spans="1:8" ht="15.75" customHeight="1">
      <c r="A253" s="185" t="s">
        <v>636</v>
      </c>
      <c r="B253" s="185"/>
      <c r="C253" s="185" t="s">
        <v>637</v>
      </c>
      <c r="D253" s="184">
        <v>570</v>
      </c>
      <c r="E253" s="184">
        <v>0</v>
      </c>
      <c r="F253" s="184">
        <v>0</v>
      </c>
      <c r="G253" s="184">
        <v>0</v>
      </c>
      <c r="H253" s="184">
        <v>570</v>
      </c>
    </row>
    <row r="254" spans="1:8" ht="15.75" customHeight="1">
      <c r="A254" s="185" t="s">
        <v>297</v>
      </c>
      <c r="B254" s="185"/>
      <c r="C254" s="185" t="s">
        <v>638</v>
      </c>
      <c r="D254" s="184">
        <v>1341.5</v>
      </c>
      <c r="E254" s="184">
        <v>122.38</v>
      </c>
      <c r="F254" s="184">
        <v>0</v>
      </c>
      <c r="G254" s="184">
        <v>0</v>
      </c>
      <c r="H254" s="184">
        <v>1219.12</v>
      </c>
    </row>
    <row r="255" spans="1:8" ht="15.75" customHeight="1">
      <c r="A255" s="185" t="s">
        <v>639</v>
      </c>
      <c r="B255" s="185"/>
      <c r="C255" s="185" t="s">
        <v>640</v>
      </c>
      <c r="D255" s="184">
        <v>2153.5</v>
      </c>
      <c r="E255" s="184">
        <v>1188.57</v>
      </c>
      <c r="F255" s="184">
        <v>87.2</v>
      </c>
      <c r="G255" s="184">
        <v>83.63</v>
      </c>
      <c r="H255" s="184">
        <v>794.1</v>
      </c>
    </row>
    <row r="256" spans="1:8" ht="15.75" customHeight="1">
      <c r="A256" s="185" t="s">
        <v>287</v>
      </c>
      <c r="B256" s="185"/>
      <c r="C256" s="185" t="s">
        <v>641</v>
      </c>
      <c r="D256" s="184">
        <v>256.12</v>
      </c>
      <c r="E256" s="184">
        <v>145.71</v>
      </c>
      <c r="F256" s="184">
        <v>4.5</v>
      </c>
      <c r="G256" s="184">
        <v>25.91</v>
      </c>
      <c r="H256" s="184">
        <v>80</v>
      </c>
    </row>
    <row r="257" spans="1:8" ht="15.75" customHeight="1">
      <c r="A257" s="185" t="s">
        <v>332</v>
      </c>
      <c r="B257" s="185"/>
      <c r="C257" s="185" t="s">
        <v>642</v>
      </c>
      <c r="D257" s="184">
        <v>1897.38</v>
      </c>
      <c r="E257" s="184">
        <v>1042.86</v>
      </c>
      <c r="F257" s="184">
        <v>82.7</v>
      </c>
      <c r="G257" s="184">
        <v>57.72</v>
      </c>
      <c r="H257" s="184">
        <v>714.1</v>
      </c>
    </row>
    <row r="258" spans="1:8" ht="15.75" customHeight="1">
      <c r="A258" s="185" t="s">
        <v>643</v>
      </c>
      <c r="B258" s="185"/>
      <c r="C258" s="185" t="s">
        <v>644</v>
      </c>
      <c r="D258" s="184">
        <v>508.35</v>
      </c>
      <c r="E258" s="184">
        <v>277.34</v>
      </c>
      <c r="F258" s="184">
        <v>9.35</v>
      </c>
      <c r="G258" s="184">
        <v>24.66</v>
      </c>
      <c r="H258" s="184">
        <v>197</v>
      </c>
    </row>
    <row r="259" spans="1:8" ht="15.75" customHeight="1">
      <c r="A259" s="185" t="s">
        <v>287</v>
      </c>
      <c r="B259" s="185"/>
      <c r="C259" s="185" t="s">
        <v>645</v>
      </c>
      <c r="D259" s="184">
        <v>143.66</v>
      </c>
      <c r="E259" s="184">
        <v>107.92</v>
      </c>
      <c r="F259" s="184">
        <v>4.3</v>
      </c>
      <c r="G259" s="184">
        <v>10.44</v>
      </c>
      <c r="H259" s="184">
        <v>21</v>
      </c>
    </row>
    <row r="260" spans="1:8" ht="15.75" customHeight="1">
      <c r="A260" s="185" t="s">
        <v>392</v>
      </c>
      <c r="B260" s="185"/>
      <c r="C260" s="185" t="s">
        <v>646</v>
      </c>
      <c r="D260" s="184">
        <v>111.15</v>
      </c>
      <c r="E260" s="184">
        <v>99.96</v>
      </c>
      <c r="F260" s="184">
        <v>2.7</v>
      </c>
      <c r="G260" s="184">
        <v>8.49</v>
      </c>
      <c r="H260" s="184">
        <v>0</v>
      </c>
    </row>
    <row r="261" spans="1:8" ht="15.75" customHeight="1">
      <c r="A261" s="185" t="s">
        <v>647</v>
      </c>
      <c r="B261" s="185"/>
      <c r="C261" s="185" t="s">
        <v>648</v>
      </c>
      <c r="D261" s="184">
        <v>150</v>
      </c>
      <c r="E261" s="184">
        <v>0</v>
      </c>
      <c r="F261" s="184">
        <v>0</v>
      </c>
      <c r="G261" s="184">
        <v>0</v>
      </c>
      <c r="H261" s="184">
        <v>150</v>
      </c>
    </row>
    <row r="262" spans="1:8" ht="15.75" customHeight="1">
      <c r="A262" s="185" t="s">
        <v>649</v>
      </c>
      <c r="B262" s="185"/>
      <c r="C262" s="185" t="s">
        <v>650</v>
      </c>
      <c r="D262" s="184">
        <v>93.54</v>
      </c>
      <c r="E262" s="184">
        <v>69.46</v>
      </c>
      <c r="F262" s="184">
        <v>2.35</v>
      </c>
      <c r="G262" s="184">
        <v>5.73</v>
      </c>
      <c r="H262" s="184">
        <v>16</v>
      </c>
    </row>
    <row r="263" spans="1:8" ht="15.75" customHeight="1">
      <c r="A263" s="185" t="s">
        <v>297</v>
      </c>
      <c r="B263" s="185"/>
      <c r="C263" s="185" t="s">
        <v>651</v>
      </c>
      <c r="D263" s="184">
        <v>10</v>
      </c>
      <c r="E263" s="184">
        <v>0</v>
      </c>
      <c r="F263" s="184">
        <v>0</v>
      </c>
      <c r="G263" s="184">
        <v>0</v>
      </c>
      <c r="H263" s="184">
        <v>10</v>
      </c>
    </row>
    <row r="264" spans="1:8" ht="15.75" customHeight="1">
      <c r="A264" s="185" t="s">
        <v>652</v>
      </c>
      <c r="B264" s="185"/>
      <c r="C264" s="185" t="s">
        <v>653</v>
      </c>
      <c r="D264" s="184">
        <v>100</v>
      </c>
      <c r="E264" s="184">
        <v>0</v>
      </c>
      <c r="F264" s="184">
        <v>0</v>
      </c>
      <c r="G264" s="184">
        <v>0</v>
      </c>
      <c r="H264" s="184">
        <v>100</v>
      </c>
    </row>
    <row r="265" spans="1:8" ht="15.75" customHeight="1">
      <c r="A265" s="185" t="s">
        <v>297</v>
      </c>
      <c r="B265" s="185"/>
      <c r="C265" s="185" t="s">
        <v>654</v>
      </c>
      <c r="D265" s="184">
        <v>100</v>
      </c>
      <c r="E265" s="184">
        <v>0</v>
      </c>
      <c r="F265" s="184">
        <v>0</v>
      </c>
      <c r="G265" s="184">
        <v>0</v>
      </c>
      <c r="H265" s="184">
        <v>100</v>
      </c>
    </row>
    <row r="266" spans="1:8" ht="15.75" customHeight="1">
      <c r="A266" s="185" t="s">
        <v>655</v>
      </c>
      <c r="B266" s="185"/>
      <c r="C266" s="185" t="s">
        <v>656</v>
      </c>
      <c r="D266" s="184">
        <v>58</v>
      </c>
      <c r="E266" s="184">
        <v>0</v>
      </c>
      <c r="F266" s="184">
        <v>0</v>
      </c>
      <c r="G266" s="184">
        <v>0</v>
      </c>
      <c r="H266" s="184">
        <v>58</v>
      </c>
    </row>
    <row r="267" spans="1:8" ht="15.75" customHeight="1">
      <c r="A267" s="185" t="s">
        <v>297</v>
      </c>
      <c r="B267" s="185"/>
      <c r="C267" s="185" t="s">
        <v>657</v>
      </c>
      <c r="D267" s="184">
        <v>58</v>
      </c>
      <c r="E267" s="184">
        <v>0</v>
      </c>
      <c r="F267" s="184">
        <v>0</v>
      </c>
      <c r="G267" s="184">
        <v>0</v>
      </c>
      <c r="H267" s="184">
        <v>58</v>
      </c>
    </row>
    <row r="268" spans="1:8" ht="15.75" customHeight="1">
      <c r="A268" s="185" t="s">
        <v>658</v>
      </c>
      <c r="B268" s="185"/>
      <c r="C268" s="185" t="s">
        <v>659</v>
      </c>
      <c r="D268" s="184">
        <v>1003.95</v>
      </c>
      <c r="E268" s="184">
        <v>0</v>
      </c>
      <c r="F268" s="184">
        <v>0</v>
      </c>
      <c r="G268" s="184">
        <v>0</v>
      </c>
      <c r="H268" s="184">
        <v>1003.95</v>
      </c>
    </row>
    <row r="269" spans="1:8" ht="15.75" customHeight="1">
      <c r="A269" s="185" t="s">
        <v>287</v>
      </c>
      <c r="B269" s="185"/>
      <c r="C269" s="185" t="s">
        <v>660</v>
      </c>
      <c r="D269" s="184">
        <v>260</v>
      </c>
      <c r="E269" s="184">
        <v>0</v>
      </c>
      <c r="F269" s="184">
        <v>0</v>
      </c>
      <c r="G269" s="184">
        <v>0</v>
      </c>
      <c r="H269" s="184">
        <v>260</v>
      </c>
    </row>
    <row r="270" spans="1:8" ht="15.75" customHeight="1">
      <c r="A270" s="185" t="s">
        <v>346</v>
      </c>
      <c r="B270" s="185"/>
      <c r="C270" s="185" t="s">
        <v>661</v>
      </c>
      <c r="D270" s="184">
        <v>743.95</v>
      </c>
      <c r="E270" s="184">
        <v>0</v>
      </c>
      <c r="F270" s="184">
        <v>0</v>
      </c>
      <c r="G270" s="184">
        <v>0</v>
      </c>
      <c r="H270" s="184">
        <v>743.95</v>
      </c>
    </row>
    <row r="271" spans="1:8" ht="15.75" customHeight="1">
      <c r="A271" s="185" t="s">
        <v>662</v>
      </c>
      <c r="B271" s="185"/>
      <c r="C271" s="185" t="s">
        <v>663</v>
      </c>
      <c r="D271" s="184">
        <v>1492.27</v>
      </c>
      <c r="E271" s="184">
        <v>0</v>
      </c>
      <c r="F271" s="184">
        <v>0</v>
      </c>
      <c r="G271" s="184">
        <v>0</v>
      </c>
      <c r="H271" s="184">
        <v>1492.27</v>
      </c>
    </row>
    <row r="272" spans="1:8" ht="15.75" customHeight="1">
      <c r="A272" s="185" t="s">
        <v>297</v>
      </c>
      <c r="B272" s="185"/>
      <c r="C272" s="185" t="s">
        <v>664</v>
      </c>
      <c r="D272" s="184">
        <v>1492.27</v>
      </c>
      <c r="E272" s="184">
        <v>0</v>
      </c>
      <c r="F272" s="184">
        <v>0</v>
      </c>
      <c r="G272" s="184">
        <v>0</v>
      </c>
      <c r="H272" s="184">
        <v>1492.27</v>
      </c>
    </row>
    <row r="273" spans="1:8" ht="15.75" customHeight="1">
      <c r="A273" s="185" t="s">
        <v>665</v>
      </c>
      <c r="B273" s="185"/>
      <c r="C273" s="185" t="s">
        <v>666</v>
      </c>
      <c r="D273" s="184">
        <v>623.53</v>
      </c>
      <c r="E273" s="184">
        <v>127.3</v>
      </c>
      <c r="F273" s="184">
        <v>4.05</v>
      </c>
      <c r="G273" s="184">
        <v>13.18</v>
      </c>
      <c r="H273" s="184">
        <v>479</v>
      </c>
    </row>
    <row r="274" spans="1:8" ht="15.75" customHeight="1">
      <c r="A274" s="185" t="s">
        <v>667</v>
      </c>
      <c r="B274" s="185"/>
      <c r="C274" s="185" t="s">
        <v>668</v>
      </c>
      <c r="D274" s="184">
        <v>423.53</v>
      </c>
      <c r="E274" s="184">
        <v>127.3</v>
      </c>
      <c r="F274" s="184">
        <v>4.05</v>
      </c>
      <c r="G274" s="184">
        <v>13.18</v>
      </c>
      <c r="H274" s="184">
        <v>279</v>
      </c>
    </row>
    <row r="275" spans="1:8" ht="15.75" customHeight="1">
      <c r="A275" s="185" t="s">
        <v>287</v>
      </c>
      <c r="B275" s="185"/>
      <c r="C275" s="185" t="s">
        <v>669</v>
      </c>
      <c r="D275" s="184">
        <v>102.54</v>
      </c>
      <c r="E275" s="184">
        <v>52.54</v>
      </c>
      <c r="F275" s="184">
        <v>1.8</v>
      </c>
      <c r="G275" s="184">
        <v>7.2</v>
      </c>
      <c r="H275" s="184">
        <v>41</v>
      </c>
    </row>
    <row r="276" spans="1:8" ht="15.75" customHeight="1">
      <c r="A276" s="185" t="s">
        <v>404</v>
      </c>
      <c r="B276" s="185"/>
      <c r="C276" s="185" t="s">
        <v>670</v>
      </c>
      <c r="D276" s="184">
        <v>82.99</v>
      </c>
      <c r="E276" s="184">
        <v>74.76</v>
      </c>
      <c r="F276" s="184">
        <v>2.25</v>
      </c>
      <c r="G276" s="184">
        <v>5.98</v>
      </c>
      <c r="H276" s="184">
        <v>0</v>
      </c>
    </row>
    <row r="277" spans="1:8" ht="15.75" customHeight="1">
      <c r="A277" s="185" t="s">
        <v>671</v>
      </c>
      <c r="B277" s="185"/>
      <c r="C277" s="185" t="s">
        <v>672</v>
      </c>
      <c r="D277" s="184">
        <v>238</v>
      </c>
      <c r="E277" s="184">
        <v>0</v>
      </c>
      <c r="F277" s="184">
        <v>0</v>
      </c>
      <c r="G277" s="184">
        <v>0</v>
      </c>
      <c r="H277" s="184">
        <v>238</v>
      </c>
    </row>
    <row r="278" spans="1:8" ht="15.75" customHeight="1">
      <c r="A278" s="185" t="s">
        <v>673</v>
      </c>
      <c r="B278" s="185"/>
      <c r="C278" s="185" t="s">
        <v>674</v>
      </c>
      <c r="D278" s="184">
        <v>200</v>
      </c>
      <c r="E278" s="184">
        <v>0</v>
      </c>
      <c r="F278" s="184">
        <v>0</v>
      </c>
      <c r="G278" s="184">
        <v>0</v>
      </c>
      <c r="H278" s="184">
        <v>200</v>
      </c>
    </row>
    <row r="279" spans="1:8" ht="15.75" customHeight="1">
      <c r="A279" s="185" t="s">
        <v>287</v>
      </c>
      <c r="B279" s="185"/>
      <c r="C279" s="185" t="s">
        <v>675</v>
      </c>
      <c r="D279" s="184">
        <v>200</v>
      </c>
      <c r="E279" s="184">
        <v>0</v>
      </c>
      <c r="F279" s="184">
        <v>0</v>
      </c>
      <c r="G279" s="184">
        <v>0</v>
      </c>
      <c r="H279" s="184">
        <v>200</v>
      </c>
    </row>
    <row r="280" spans="1:8" ht="15.75" customHeight="1">
      <c r="A280" s="185" t="s">
        <v>676</v>
      </c>
      <c r="B280" s="185"/>
      <c r="C280" s="185" t="s">
        <v>677</v>
      </c>
      <c r="D280" s="184">
        <v>329.23</v>
      </c>
      <c r="E280" s="184">
        <v>196.44</v>
      </c>
      <c r="F280" s="184">
        <v>6.65</v>
      </c>
      <c r="G280" s="184">
        <v>19.34</v>
      </c>
      <c r="H280" s="184">
        <v>106.8</v>
      </c>
    </row>
    <row r="281" spans="1:8" ht="15.75" customHeight="1">
      <c r="A281" s="185" t="s">
        <v>678</v>
      </c>
      <c r="B281" s="185"/>
      <c r="C281" s="185" t="s">
        <v>679</v>
      </c>
      <c r="D281" s="184">
        <v>114.03</v>
      </c>
      <c r="E281" s="184">
        <v>93.08</v>
      </c>
      <c r="F281" s="184">
        <v>2.7</v>
      </c>
      <c r="G281" s="184">
        <v>9.45</v>
      </c>
      <c r="H281" s="184">
        <v>8.8</v>
      </c>
    </row>
    <row r="282" spans="1:8" ht="15.75" customHeight="1">
      <c r="A282" s="185" t="s">
        <v>287</v>
      </c>
      <c r="B282" s="185"/>
      <c r="C282" s="185" t="s">
        <v>680</v>
      </c>
      <c r="D282" s="184">
        <v>114.03</v>
      </c>
      <c r="E282" s="184">
        <v>93.08</v>
      </c>
      <c r="F282" s="184">
        <v>2.7</v>
      </c>
      <c r="G282" s="184">
        <v>9.45</v>
      </c>
      <c r="H282" s="184">
        <v>8.8</v>
      </c>
    </row>
    <row r="283" spans="1:8" ht="15.75" customHeight="1">
      <c r="A283" s="185" t="s">
        <v>681</v>
      </c>
      <c r="B283" s="185"/>
      <c r="C283" s="185" t="s">
        <v>682</v>
      </c>
      <c r="D283" s="184">
        <v>16.97</v>
      </c>
      <c r="E283" s="184">
        <v>13.61</v>
      </c>
      <c r="F283" s="184">
        <v>0.6</v>
      </c>
      <c r="G283" s="184">
        <v>2.76</v>
      </c>
      <c r="H283" s="184">
        <v>0</v>
      </c>
    </row>
    <row r="284" spans="1:8" ht="15.75" customHeight="1">
      <c r="A284" s="185" t="s">
        <v>287</v>
      </c>
      <c r="B284" s="185"/>
      <c r="C284" s="185" t="s">
        <v>683</v>
      </c>
      <c r="D284" s="184">
        <v>16.97</v>
      </c>
      <c r="E284" s="184">
        <v>13.61</v>
      </c>
      <c r="F284" s="184">
        <v>0.6</v>
      </c>
      <c r="G284" s="184">
        <v>2.76</v>
      </c>
      <c r="H284" s="184">
        <v>0</v>
      </c>
    </row>
    <row r="285" spans="1:8" ht="15.75" customHeight="1">
      <c r="A285" s="185" t="s">
        <v>684</v>
      </c>
      <c r="B285" s="185"/>
      <c r="C285" s="185" t="s">
        <v>685</v>
      </c>
      <c r="D285" s="184">
        <v>120.68</v>
      </c>
      <c r="E285" s="184">
        <v>53.15</v>
      </c>
      <c r="F285" s="184">
        <v>2.3</v>
      </c>
      <c r="G285" s="184">
        <v>4.23</v>
      </c>
      <c r="H285" s="184">
        <v>61</v>
      </c>
    </row>
    <row r="286" spans="1:8" ht="15.75" customHeight="1">
      <c r="A286" s="185" t="s">
        <v>287</v>
      </c>
      <c r="B286" s="185"/>
      <c r="C286" s="185" t="s">
        <v>686</v>
      </c>
      <c r="D286" s="184">
        <v>90.68</v>
      </c>
      <c r="E286" s="184">
        <v>53.15</v>
      </c>
      <c r="F286" s="184">
        <v>2.3</v>
      </c>
      <c r="G286" s="184">
        <v>4.23</v>
      </c>
      <c r="H286" s="184">
        <v>31</v>
      </c>
    </row>
    <row r="287" spans="1:8" ht="15.75" customHeight="1">
      <c r="A287" s="185" t="s">
        <v>346</v>
      </c>
      <c r="B287" s="185"/>
      <c r="C287" s="185" t="s">
        <v>687</v>
      </c>
      <c r="D287" s="184">
        <v>30</v>
      </c>
      <c r="E287" s="184">
        <v>0</v>
      </c>
      <c r="F287" s="184">
        <v>0</v>
      </c>
      <c r="G287" s="184">
        <v>0</v>
      </c>
      <c r="H287" s="184">
        <v>30</v>
      </c>
    </row>
    <row r="288" spans="1:8" ht="15.75" customHeight="1">
      <c r="A288" s="185" t="s">
        <v>688</v>
      </c>
      <c r="B288" s="185"/>
      <c r="C288" s="185" t="s">
        <v>689</v>
      </c>
      <c r="D288" s="184">
        <v>2</v>
      </c>
      <c r="E288" s="184">
        <v>0</v>
      </c>
      <c r="F288" s="184">
        <v>0</v>
      </c>
      <c r="G288" s="184">
        <v>0</v>
      </c>
      <c r="H288" s="184">
        <v>2</v>
      </c>
    </row>
    <row r="289" spans="1:8" ht="15.75" customHeight="1">
      <c r="A289" s="185" t="s">
        <v>297</v>
      </c>
      <c r="B289" s="185"/>
      <c r="C289" s="185" t="s">
        <v>690</v>
      </c>
      <c r="D289" s="184">
        <v>2</v>
      </c>
      <c r="E289" s="184">
        <v>0</v>
      </c>
      <c r="F289" s="184">
        <v>0</v>
      </c>
      <c r="G289" s="184">
        <v>0</v>
      </c>
      <c r="H289" s="184">
        <v>2</v>
      </c>
    </row>
    <row r="290" spans="1:8" ht="15.75" customHeight="1">
      <c r="A290" s="185" t="s">
        <v>691</v>
      </c>
      <c r="B290" s="185"/>
      <c r="C290" s="185" t="s">
        <v>692</v>
      </c>
      <c r="D290" s="184">
        <v>75.55</v>
      </c>
      <c r="E290" s="184">
        <v>36.6</v>
      </c>
      <c r="F290" s="184">
        <v>1.05</v>
      </c>
      <c r="G290" s="184">
        <v>2.9</v>
      </c>
      <c r="H290" s="184">
        <v>35</v>
      </c>
    </row>
    <row r="291" spans="1:8" ht="15.75" customHeight="1">
      <c r="A291" s="185" t="s">
        <v>287</v>
      </c>
      <c r="B291" s="185"/>
      <c r="C291" s="185" t="s">
        <v>693</v>
      </c>
      <c r="D291" s="184">
        <v>75.55</v>
      </c>
      <c r="E291" s="184">
        <v>36.6</v>
      </c>
      <c r="F291" s="184">
        <v>1.05</v>
      </c>
      <c r="G291" s="184">
        <v>2.9</v>
      </c>
      <c r="H291" s="184">
        <v>35</v>
      </c>
    </row>
    <row r="292" spans="1:8" ht="15.75" customHeight="1">
      <c r="A292" s="185" t="s">
        <v>694</v>
      </c>
      <c r="B292" s="185"/>
      <c r="C292" s="185" t="s">
        <v>695</v>
      </c>
      <c r="D292" s="184">
        <v>302.3</v>
      </c>
      <c r="E292" s="184">
        <v>105.85</v>
      </c>
      <c r="F292" s="184">
        <v>4.56</v>
      </c>
      <c r="G292" s="184">
        <v>11.89</v>
      </c>
      <c r="H292" s="184">
        <v>180</v>
      </c>
    </row>
    <row r="293" spans="1:8" ht="15.75" customHeight="1">
      <c r="A293" s="185" t="s">
        <v>696</v>
      </c>
      <c r="B293" s="185"/>
      <c r="C293" s="185" t="s">
        <v>697</v>
      </c>
      <c r="D293" s="184">
        <v>82.15</v>
      </c>
      <c r="E293" s="184">
        <v>69.84</v>
      </c>
      <c r="F293" s="184">
        <v>3.21</v>
      </c>
      <c r="G293" s="184">
        <v>9.1</v>
      </c>
      <c r="H293" s="184">
        <v>0</v>
      </c>
    </row>
    <row r="294" spans="1:8" ht="15.75" customHeight="1">
      <c r="A294" s="185" t="s">
        <v>287</v>
      </c>
      <c r="B294" s="185"/>
      <c r="C294" s="185" t="s">
        <v>698</v>
      </c>
      <c r="D294" s="184">
        <v>82.15</v>
      </c>
      <c r="E294" s="184">
        <v>69.84</v>
      </c>
      <c r="F294" s="184">
        <v>3.21</v>
      </c>
      <c r="G294" s="184">
        <v>9.1</v>
      </c>
      <c r="H294" s="184">
        <v>0</v>
      </c>
    </row>
    <row r="295" spans="1:8" ht="15.75" customHeight="1">
      <c r="A295" s="185" t="s">
        <v>699</v>
      </c>
      <c r="B295" s="185"/>
      <c r="C295" s="185" t="s">
        <v>700</v>
      </c>
      <c r="D295" s="184">
        <v>220.15</v>
      </c>
      <c r="E295" s="184">
        <v>36.01</v>
      </c>
      <c r="F295" s="184">
        <v>1.35</v>
      </c>
      <c r="G295" s="184">
        <v>2.79</v>
      </c>
      <c r="H295" s="184">
        <v>180</v>
      </c>
    </row>
    <row r="296" spans="1:8" ht="15.75" customHeight="1">
      <c r="A296" s="185" t="s">
        <v>287</v>
      </c>
      <c r="B296" s="185"/>
      <c r="C296" s="185" t="s">
        <v>701</v>
      </c>
      <c r="D296" s="184">
        <v>70.15</v>
      </c>
      <c r="E296" s="184">
        <v>36.01</v>
      </c>
      <c r="F296" s="184">
        <v>1.35</v>
      </c>
      <c r="G296" s="184">
        <v>2.79</v>
      </c>
      <c r="H296" s="184">
        <v>30</v>
      </c>
    </row>
    <row r="297" spans="1:8" ht="15.75" customHeight="1">
      <c r="A297" s="185" t="s">
        <v>297</v>
      </c>
      <c r="B297" s="185"/>
      <c r="C297" s="185" t="s">
        <v>702</v>
      </c>
      <c r="D297" s="184">
        <v>150</v>
      </c>
      <c r="E297" s="184">
        <v>0</v>
      </c>
      <c r="F297" s="184">
        <v>0</v>
      </c>
      <c r="G297" s="184">
        <v>0</v>
      </c>
      <c r="H297" s="184">
        <v>150</v>
      </c>
    </row>
    <row r="298" spans="1:8" ht="15.75" customHeight="1">
      <c r="A298" s="185" t="s">
        <v>703</v>
      </c>
      <c r="B298" s="185"/>
      <c r="C298" s="185" t="s">
        <v>704</v>
      </c>
      <c r="D298" s="184">
        <v>771.03</v>
      </c>
      <c r="E298" s="184">
        <v>474.7</v>
      </c>
      <c r="F298" s="184">
        <v>15.03</v>
      </c>
      <c r="G298" s="184">
        <v>43.3</v>
      </c>
      <c r="H298" s="184">
        <v>238</v>
      </c>
    </row>
    <row r="299" spans="1:8" ht="15.75" customHeight="1">
      <c r="A299" s="185" t="s">
        <v>705</v>
      </c>
      <c r="B299" s="185"/>
      <c r="C299" s="185" t="s">
        <v>706</v>
      </c>
      <c r="D299" s="184">
        <v>699.64</v>
      </c>
      <c r="E299" s="184">
        <v>452.39</v>
      </c>
      <c r="F299" s="184">
        <v>14.75</v>
      </c>
      <c r="G299" s="184">
        <v>36.5</v>
      </c>
      <c r="H299" s="184">
        <v>196</v>
      </c>
    </row>
    <row r="300" spans="1:8" ht="15.75" customHeight="1">
      <c r="A300" s="185" t="s">
        <v>287</v>
      </c>
      <c r="B300" s="185"/>
      <c r="C300" s="185" t="s">
        <v>707</v>
      </c>
      <c r="D300" s="184">
        <v>473.95</v>
      </c>
      <c r="E300" s="184">
        <v>303.3</v>
      </c>
      <c r="F300" s="184">
        <v>10.4</v>
      </c>
      <c r="G300" s="184">
        <v>24.25</v>
      </c>
      <c r="H300" s="184">
        <v>136</v>
      </c>
    </row>
    <row r="301" spans="1:8" ht="15.75" customHeight="1">
      <c r="A301" s="185" t="s">
        <v>708</v>
      </c>
      <c r="B301" s="185"/>
      <c r="C301" s="185" t="s">
        <v>709</v>
      </c>
      <c r="D301" s="184">
        <v>60</v>
      </c>
      <c r="E301" s="184">
        <v>0</v>
      </c>
      <c r="F301" s="184">
        <v>0</v>
      </c>
      <c r="G301" s="184">
        <v>0</v>
      </c>
      <c r="H301" s="184">
        <v>60</v>
      </c>
    </row>
    <row r="302" spans="1:8" ht="15.75" customHeight="1">
      <c r="A302" s="185" t="s">
        <v>297</v>
      </c>
      <c r="B302" s="185"/>
      <c r="C302" s="185" t="s">
        <v>710</v>
      </c>
      <c r="D302" s="184">
        <v>165.69</v>
      </c>
      <c r="E302" s="184">
        <v>149.09</v>
      </c>
      <c r="F302" s="184">
        <v>4.35</v>
      </c>
      <c r="G302" s="184">
        <v>12.25</v>
      </c>
      <c r="H302" s="184">
        <v>0</v>
      </c>
    </row>
    <row r="303" spans="1:8" ht="15.75" customHeight="1">
      <c r="A303" s="185" t="s">
        <v>711</v>
      </c>
      <c r="B303" s="185"/>
      <c r="C303" s="185" t="s">
        <v>712</v>
      </c>
      <c r="D303" s="184">
        <v>71.39</v>
      </c>
      <c r="E303" s="184">
        <v>22.31</v>
      </c>
      <c r="F303" s="184">
        <v>0.28</v>
      </c>
      <c r="G303" s="184">
        <v>6.8</v>
      </c>
      <c r="H303" s="184">
        <v>42</v>
      </c>
    </row>
    <row r="304" spans="1:8" ht="15.75" customHeight="1">
      <c r="A304" s="185" t="s">
        <v>332</v>
      </c>
      <c r="B304" s="185"/>
      <c r="C304" s="185" t="s">
        <v>713</v>
      </c>
      <c r="D304" s="184">
        <v>71.39</v>
      </c>
      <c r="E304" s="184">
        <v>22.31</v>
      </c>
      <c r="F304" s="184">
        <v>0.28</v>
      </c>
      <c r="G304" s="184">
        <v>6.8</v>
      </c>
      <c r="H304" s="184">
        <v>42</v>
      </c>
    </row>
    <row r="305" spans="1:8" ht="15.75" customHeight="1">
      <c r="A305" s="185" t="s">
        <v>714</v>
      </c>
      <c r="B305" s="185"/>
      <c r="C305" s="185" t="s">
        <v>715</v>
      </c>
      <c r="D305" s="184">
        <v>1550</v>
      </c>
      <c r="E305" s="184">
        <v>47.33</v>
      </c>
      <c r="F305" s="184">
        <v>16.64</v>
      </c>
      <c r="G305" s="184">
        <v>1.86</v>
      </c>
      <c r="H305" s="184">
        <v>1484.17</v>
      </c>
    </row>
    <row r="306" spans="1:8" ht="15.75" customHeight="1">
      <c r="A306" s="185" t="s">
        <v>716</v>
      </c>
      <c r="B306" s="185"/>
      <c r="C306" s="185" t="s">
        <v>717</v>
      </c>
      <c r="D306" s="184">
        <v>1450</v>
      </c>
      <c r="E306" s="184">
        <v>0</v>
      </c>
      <c r="F306" s="184">
        <v>0</v>
      </c>
      <c r="G306" s="184">
        <v>0</v>
      </c>
      <c r="H306" s="184">
        <v>1450</v>
      </c>
    </row>
    <row r="307" spans="1:8" ht="15.75" customHeight="1">
      <c r="A307" s="185" t="s">
        <v>302</v>
      </c>
      <c r="B307" s="185"/>
      <c r="C307" s="185" t="s">
        <v>718</v>
      </c>
      <c r="D307" s="184">
        <v>1450</v>
      </c>
      <c r="E307" s="184">
        <v>0</v>
      </c>
      <c r="F307" s="184">
        <v>0</v>
      </c>
      <c r="G307" s="184">
        <v>0</v>
      </c>
      <c r="H307" s="184">
        <v>1450</v>
      </c>
    </row>
    <row r="308" spans="1:8" ht="15.75" customHeight="1">
      <c r="A308" s="185" t="s">
        <v>719</v>
      </c>
      <c r="B308" s="185"/>
      <c r="C308" s="185" t="s">
        <v>720</v>
      </c>
      <c r="D308" s="184">
        <v>100</v>
      </c>
      <c r="E308" s="184">
        <v>47.33</v>
      </c>
      <c r="F308" s="184">
        <v>16.64</v>
      </c>
      <c r="G308" s="184">
        <v>1.86</v>
      </c>
      <c r="H308" s="184">
        <v>34.17</v>
      </c>
    </row>
    <row r="309" spans="1:8" ht="15.75" customHeight="1">
      <c r="A309" s="185" t="s">
        <v>297</v>
      </c>
      <c r="B309" s="185"/>
      <c r="C309" s="185" t="s">
        <v>721</v>
      </c>
      <c r="D309" s="184">
        <v>100</v>
      </c>
      <c r="E309" s="184">
        <v>47.33</v>
      </c>
      <c r="F309" s="184">
        <v>16.64</v>
      </c>
      <c r="G309" s="184">
        <v>1.86</v>
      </c>
      <c r="H309" s="184">
        <v>34.17</v>
      </c>
    </row>
    <row r="310" spans="1:8" ht="15.75" customHeight="1">
      <c r="A310" s="185" t="s">
        <v>722</v>
      </c>
      <c r="B310" s="185"/>
      <c r="C310" s="185" t="s">
        <v>723</v>
      </c>
      <c r="D310" s="184">
        <v>157.79</v>
      </c>
      <c r="E310" s="184">
        <v>36.06</v>
      </c>
      <c r="F310" s="184">
        <v>1.3</v>
      </c>
      <c r="G310" s="184">
        <v>3.43</v>
      </c>
      <c r="H310" s="184">
        <v>117</v>
      </c>
    </row>
    <row r="311" spans="1:8" ht="15.75" customHeight="1">
      <c r="A311" s="185" t="s">
        <v>724</v>
      </c>
      <c r="B311" s="185"/>
      <c r="C311" s="185" t="s">
        <v>725</v>
      </c>
      <c r="D311" s="184">
        <v>157.79</v>
      </c>
      <c r="E311" s="184">
        <v>36.06</v>
      </c>
      <c r="F311" s="184">
        <v>1.3</v>
      </c>
      <c r="G311" s="184">
        <v>3.43</v>
      </c>
      <c r="H311" s="184">
        <v>117</v>
      </c>
    </row>
    <row r="312" spans="1:8" ht="15.75" customHeight="1">
      <c r="A312" s="185" t="s">
        <v>287</v>
      </c>
      <c r="B312" s="185"/>
      <c r="C312" s="185" t="s">
        <v>726</v>
      </c>
      <c r="D312" s="184">
        <v>55.79</v>
      </c>
      <c r="E312" s="184">
        <v>36.06</v>
      </c>
      <c r="F312" s="184">
        <v>1.3</v>
      </c>
      <c r="G312" s="184">
        <v>3.43</v>
      </c>
      <c r="H312" s="184">
        <v>15</v>
      </c>
    </row>
    <row r="313" spans="1:8" ht="15.75" customHeight="1">
      <c r="A313" s="185" t="s">
        <v>727</v>
      </c>
      <c r="B313" s="185"/>
      <c r="C313" s="185" t="s">
        <v>728</v>
      </c>
      <c r="D313" s="184">
        <v>102</v>
      </c>
      <c r="E313" s="184">
        <v>0</v>
      </c>
      <c r="F313" s="184">
        <v>0</v>
      </c>
      <c r="G313" s="184">
        <v>0</v>
      </c>
      <c r="H313" s="184">
        <v>102</v>
      </c>
    </row>
    <row r="314" spans="1:8" ht="15.75" customHeight="1">
      <c r="A314" s="185" t="s">
        <v>729</v>
      </c>
      <c r="B314" s="185"/>
      <c r="C314" s="185" t="s">
        <v>730</v>
      </c>
      <c r="D314" s="184">
        <v>224.11</v>
      </c>
      <c r="E314" s="184">
        <v>0</v>
      </c>
      <c r="F314" s="184">
        <v>0</v>
      </c>
      <c r="G314" s="184">
        <v>0</v>
      </c>
      <c r="H314" s="184">
        <v>224.11</v>
      </c>
    </row>
    <row r="315" spans="1:8" ht="15.75" customHeight="1">
      <c r="A315" s="185" t="s">
        <v>731</v>
      </c>
      <c r="B315" s="185"/>
      <c r="C315" s="185" t="s">
        <v>732</v>
      </c>
      <c r="D315" s="184">
        <v>224.11</v>
      </c>
      <c r="E315" s="184">
        <v>0</v>
      </c>
      <c r="F315" s="184">
        <v>0</v>
      </c>
      <c r="G315" s="184">
        <v>0</v>
      </c>
      <c r="H315" s="184">
        <v>224.11</v>
      </c>
    </row>
    <row r="316" spans="1:8" ht="15.75" customHeight="1">
      <c r="A316" s="185" t="s">
        <v>733</v>
      </c>
      <c r="B316" s="185"/>
      <c r="C316" s="185" t="s">
        <v>734</v>
      </c>
      <c r="D316" s="184">
        <v>224.11</v>
      </c>
      <c r="E316" s="184">
        <v>0</v>
      </c>
      <c r="F316" s="184">
        <v>0</v>
      </c>
      <c r="G316" s="184">
        <v>0</v>
      </c>
      <c r="H316" s="184">
        <v>224.11</v>
      </c>
    </row>
    <row r="317" spans="1:8" ht="15.75" customHeight="1">
      <c r="A317" s="185" t="s">
        <v>735</v>
      </c>
      <c r="B317" s="185"/>
      <c r="C317" s="185" t="s">
        <v>281</v>
      </c>
      <c r="D317" s="184">
        <f>132+31.9</f>
        <v>163.9</v>
      </c>
      <c r="E317" s="184">
        <v>0</v>
      </c>
      <c r="F317" s="184">
        <v>0</v>
      </c>
      <c r="G317" s="184">
        <v>0</v>
      </c>
      <c r="H317" s="184">
        <v>163.9</v>
      </c>
    </row>
    <row r="318" spans="1:8" ht="15.75" customHeight="1">
      <c r="A318" s="185" t="s">
        <v>736</v>
      </c>
      <c r="B318" s="185"/>
      <c r="C318" s="185" t="s">
        <v>737</v>
      </c>
      <c r="D318" s="184">
        <f>132+31.9</f>
        <v>163.9</v>
      </c>
      <c r="E318" s="184">
        <v>0</v>
      </c>
      <c r="F318" s="184">
        <v>0</v>
      </c>
      <c r="G318" s="184">
        <v>0</v>
      </c>
      <c r="H318" s="184">
        <v>163.9</v>
      </c>
    </row>
    <row r="319" spans="1:8" ht="15.75" customHeight="1">
      <c r="A319" s="185" t="s">
        <v>287</v>
      </c>
      <c r="B319" s="185"/>
      <c r="C319" s="185" t="s">
        <v>738</v>
      </c>
      <c r="D319" s="184">
        <f>132+31.9</f>
        <v>163.9</v>
      </c>
      <c r="E319" s="184">
        <v>0</v>
      </c>
      <c r="F319" s="184">
        <v>0</v>
      </c>
      <c r="G319" s="184">
        <v>0</v>
      </c>
      <c r="H319" s="184">
        <v>163.9</v>
      </c>
    </row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</sheetData>
  <mergeCells count="9">
    <mergeCell ref="A2:H2"/>
    <mergeCell ref="A4:A5"/>
    <mergeCell ref="B4:B5"/>
    <mergeCell ref="C4:C5"/>
    <mergeCell ref="D4:D5"/>
    <mergeCell ref="H4:H5"/>
    <mergeCell ref="E4:E5"/>
    <mergeCell ref="F4:F5"/>
    <mergeCell ref="G4:G5"/>
  </mergeCells>
  <printOptions horizontalCentered="1"/>
  <pageMargins left="0.75" right="0.83" top="0.38" bottom="0.58" header="0.19652777777777777" footer="0.19652777777777777"/>
  <pageSetup horizontalDpi="600" verticalDpi="600" orientation="landscape" paperSize="8" scale="85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预算股/杨秋浪</dc:creator>
  <cp:keywords/>
  <dc:description/>
  <cp:lastModifiedBy>deeplm</cp:lastModifiedBy>
  <cp:lastPrinted>2015-01-16T03:39:54Z</cp:lastPrinted>
  <dcterms:created xsi:type="dcterms:W3CDTF">2009-01-23T14:05:31Z</dcterms:created>
  <dcterms:modified xsi:type="dcterms:W3CDTF">2015-01-16T03:52:50Z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